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606"/>
  <workbookPr/>
  <mc:AlternateContent xmlns:mc="http://schemas.openxmlformats.org/markup-compatibility/2006">
    <mc:Choice Requires="x15">
      <x15ac:absPath xmlns:x15ac="http://schemas.microsoft.com/office/spreadsheetml/2010/11/ac" url="/Users/DSI_Mac2017/Downloads/"/>
    </mc:Choice>
  </mc:AlternateContent>
  <workbookProtection workbookPassword="CBA8" lockStructure="1"/>
  <bookViews>
    <workbookView xWindow="0" yWindow="460" windowWidth="25600" windowHeight="14180"/>
  </bookViews>
  <sheets>
    <sheet name="RESUMEN" sheetId="1" r:id="rId1"/>
    <sheet name="1. CALIDAD" sheetId="2" r:id="rId2"/>
    <sheet name="2. DEDICACIÓN Y 3. PERMANENCIA" sheetId="3" r:id="rId3"/>
    <sheet name="Hoja4" sheetId="4" state="hidden" r:id="rId4"/>
    <sheet name="Hoja5" sheetId="5" state="hidden" r:id="rId5"/>
  </sheets>
  <externalReferences>
    <externalReference r:id="rId6"/>
    <externalReference r:id="rId7"/>
  </externalReferenc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27" i="3" l="1"/>
  <c r="H27" i="3"/>
  <c r="R28" i="3"/>
  <c r="H28" i="3"/>
  <c r="R29" i="3"/>
  <c r="H29" i="3"/>
  <c r="R30" i="3"/>
  <c r="H30" i="3"/>
  <c r="R31" i="3"/>
  <c r="H31" i="3"/>
  <c r="H32" i="3"/>
  <c r="H33" i="3"/>
  <c r="H34" i="3"/>
  <c r="H35" i="3"/>
  <c r="R26" i="3"/>
  <c r="H26" i="3"/>
  <c r="R32" i="3"/>
  <c r="R33" i="3"/>
  <c r="R34" i="3"/>
  <c r="R35" i="3"/>
  <c r="R16" i="3"/>
  <c r="H16" i="3"/>
  <c r="R17" i="3"/>
  <c r="H17" i="3"/>
  <c r="R18" i="3"/>
  <c r="H18" i="3"/>
  <c r="R19" i="3"/>
  <c r="H19" i="3"/>
  <c r="R20" i="3"/>
  <c r="H20" i="3"/>
  <c r="H21" i="3"/>
  <c r="H22" i="3"/>
  <c r="H23" i="3"/>
  <c r="H24" i="3"/>
  <c r="R15" i="3"/>
  <c r="H15" i="3"/>
  <c r="R21" i="3"/>
  <c r="R22" i="3"/>
  <c r="R23" i="3"/>
  <c r="R24" i="3"/>
  <c r="L26" i="3"/>
  <c r="L27" i="3"/>
  <c r="L28" i="3"/>
  <c r="L29" i="3"/>
  <c r="L30" i="3"/>
  <c r="L31" i="3"/>
  <c r="L32" i="3"/>
  <c r="L33" i="3"/>
  <c r="L34" i="3"/>
  <c r="L35" i="3"/>
  <c r="L16" i="3"/>
  <c r="L17" i="3"/>
  <c r="L18" i="3"/>
  <c r="L19" i="3"/>
  <c r="L20" i="3"/>
  <c r="L21" i="3"/>
  <c r="L22" i="3"/>
  <c r="L23" i="3"/>
  <c r="L24" i="3"/>
  <c r="L15" i="3"/>
  <c r="I27" i="3"/>
  <c r="I28" i="3"/>
  <c r="I29" i="3"/>
  <c r="I30" i="3"/>
  <c r="I31" i="3"/>
  <c r="I32" i="3"/>
  <c r="I33" i="3"/>
  <c r="I34" i="3"/>
  <c r="I35" i="3"/>
  <c r="I26" i="3"/>
  <c r="I16" i="3"/>
  <c r="I17" i="3"/>
  <c r="I18" i="3"/>
  <c r="I19" i="3"/>
  <c r="I20" i="3"/>
  <c r="I21" i="3"/>
  <c r="I22" i="3"/>
  <c r="I23" i="3"/>
  <c r="I24" i="3"/>
  <c r="I15" i="3"/>
  <c r="I25" i="3"/>
  <c r="M157" i="2"/>
  <c r="J157" i="2"/>
  <c r="H16" i="2"/>
  <c r="I16" i="2"/>
  <c r="I119" i="2"/>
  <c r="I118" i="2"/>
  <c r="I117" i="2"/>
  <c r="I98" i="2"/>
  <c r="I87" i="2"/>
  <c r="J159" i="2"/>
  <c r="J158" i="2"/>
  <c r="I156" i="2"/>
  <c r="I155" i="2"/>
  <c r="I153" i="2"/>
  <c r="I152" i="2"/>
  <c r="I150" i="2"/>
  <c r="I149" i="2"/>
  <c r="J146" i="2"/>
  <c r="J145" i="2"/>
  <c r="J144" i="2"/>
  <c r="J143" i="2"/>
  <c r="J142" i="2"/>
  <c r="I138" i="2"/>
  <c r="I137" i="2"/>
  <c r="I135" i="2"/>
  <c r="I134" i="2"/>
  <c r="I132" i="2"/>
  <c r="I131" i="2"/>
  <c r="I129" i="2"/>
  <c r="I128" i="2"/>
  <c r="I126" i="2"/>
  <c r="I125" i="2"/>
  <c r="I124" i="2"/>
  <c r="J122" i="2"/>
  <c r="J121" i="2"/>
  <c r="J120" i="2"/>
  <c r="J112" i="2"/>
  <c r="I111" i="2"/>
  <c r="I110" i="2"/>
  <c r="I109" i="2"/>
  <c r="I107" i="2"/>
  <c r="I106" i="2"/>
  <c r="I105" i="2"/>
  <c r="I97" i="2"/>
  <c r="I95" i="2"/>
  <c r="I94" i="2"/>
  <c r="J92" i="2"/>
  <c r="J91" i="2"/>
  <c r="I90" i="2"/>
  <c r="I89" i="2"/>
  <c r="I86" i="2"/>
  <c r="I84" i="2"/>
  <c r="I83" i="2"/>
  <c r="I82" i="2"/>
  <c r="I80" i="2"/>
  <c r="I79" i="2"/>
  <c r="J77" i="2"/>
  <c r="J76" i="2"/>
  <c r="J75" i="2"/>
  <c r="J74" i="2"/>
  <c r="I73" i="2"/>
  <c r="I72" i="2"/>
  <c r="I65" i="2"/>
  <c r="I64" i="2"/>
  <c r="I63" i="2"/>
  <c r="I62" i="2"/>
  <c r="I58" i="2"/>
  <c r="I45" i="2"/>
  <c r="I44" i="2"/>
  <c r="I43" i="2"/>
  <c r="A1" i="1"/>
  <c r="I52" i="2"/>
  <c r="I49" i="2"/>
  <c r="P27" i="3"/>
  <c r="P28" i="3"/>
  <c r="P29" i="3"/>
  <c r="P30" i="3"/>
  <c r="P31" i="3"/>
  <c r="P32" i="3"/>
  <c r="P33" i="3"/>
  <c r="P34" i="3"/>
  <c r="P35" i="3"/>
  <c r="P26" i="3"/>
  <c r="P16" i="3"/>
  <c r="P17" i="3"/>
  <c r="P18" i="3"/>
  <c r="P19" i="3"/>
  <c r="P20" i="3"/>
  <c r="P21" i="3"/>
  <c r="P22" i="3"/>
  <c r="P23" i="3"/>
  <c r="P15" i="3"/>
  <c r="P36" i="3"/>
  <c r="P24" i="3"/>
  <c r="Q36" i="3"/>
  <c r="H17" i="1"/>
  <c r="H42" i="3"/>
  <c r="I42" i="3"/>
  <c r="A28" i="1"/>
  <c r="A27" i="1"/>
  <c r="A26" i="1"/>
  <c r="A25" i="1"/>
  <c r="A24" i="1"/>
  <c r="A23" i="1"/>
  <c r="A22" i="1"/>
  <c r="A21" i="1"/>
  <c r="J44" i="3"/>
  <c r="C27" i="1"/>
  <c r="J49" i="3"/>
  <c r="G36" i="3"/>
  <c r="G17" i="1"/>
  <c r="G25" i="3"/>
  <c r="F17" i="1"/>
  <c r="B17" i="1"/>
  <c r="I36" i="3"/>
  <c r="J38" i="3"/>
  <c r="C26" i="1"/>
  <c r="H10" i="2"/>
  <c r="H11" i="2"/>
  <c r="H12" i="2"/>
  <c r="I55" i="2"/>
  <c r="J136" i="2"/>
  <c r="J104" i="2"/>
  <c r="J108" i="2"/>
  <c r="H99" i="2"/>
  <c r="J99" i="2"/>
  <c r="J93" i="2"/>
  <c r="J88" i="2"/>
  <c r="J85" i="2"/>
  <c r="J81" i="2"/>
  <c r="J78" i="2"/>
  <c r="H35" i="2"/>
  <c r="I35" i="2"/>
  <c r="H28" i="2"/>
  <c r="I28" i="2"/>
  <c r="H21" i="2"/>
  <c r="I21" i="2"/>
  <c r="J147" i="2"/>
  <c r="A27" i="4"/>
  <c r="G100" i="2"/>
  <c r="A6" i="2"/>
  <c r="J71" i="2"/>
  <c r="J96" i="2"/>
  <c r="K160" i="2"/>
  <c r="C24" i="1"/>
  <c r="J133" i="2"/>
  <c r="J127" i="2"/>
  <c r="J66" i="2"/>
  <c r="J46" i="2"/>
  <c r="J116" i="2"/>
  <c r="J13" i="2"/>
  <c r="J59" i="2"/>
  <c r="J130" i="2"/>
  <c r="J123" i="2"/>
  <c r="J48" i="3"/>
  <c r="K113" i="2"/>
  <c r="C22" i="1"/>
  <c r="K68" i="2"/>
  <c r="C21" i="1"/>
  <c r="K139" i="2"/>
  <c r="C23" i="1"/>
  <c r="K162" i="2"/>
  <c r="C25" i="1"/>
  <c r="C28" i="1"/>
  <c r="D28" i="1"/>
  <c r="D25" i="1"/>
  <c r="C29" i="1"/>
  <c r="J47" i="3"/>
  <c r="J51" i="3"/>
</calcChain>
</file>

<file path=xl/comments1.xml><?xml version="1.0" encoding="utf-8"?>
<comments xmlns="http://schemas.openxmlformats.org/spreadsheetml/2006/main">
  <authors>
    <author>Edna</author>
    <author>Manuel Arana</author>
  </authors>
  <commentList>
    <comment ref="A2" authorId="0">
      <text>
        <r>
          <rPr>
            <b/>
            <sz val="14"/>
            <color indexed="81"/>
            <rFont val="Arial"/>
            <family val="2"/>
          </rPr>
          <t xml:space="preserve">INSTRUCCIONES: 
</t>
        </r>
        <r>
          <rPr>
            <sz val="14"/>
            <color indexed="81"/>
            <rFont val="Arial"/>
            <family val="2"/>
          </rPr>
          <t>1.- CAPTURAR SU INFORMACIÓN ÚNICAMENTE EN LOS ESPACIOS EN COLOR VERDE.
2.- MOVERSE CON LA BARRA DE DESPLAZAMIENTO DE LA HOJA DE EXCEL.</t>
        </r>
      </text>
    </comment>
    <comment ref="A8" authorId="1">
      <text>
        <r>
          <rPr>
            <b/>
            <sz val="9"/>
            <color indexed="81"/>
            <rFont val="Tahoma"/>
            <family val="2"/>
          </rPr>
          <t>Ejemplo: Si la fecha de ingreso es el 5 de julio de 1996 se debe capturar como sigue: 05/07/1996</t>
        </r>
      </text>
    </comment>
    <comment ref="A17" authorId="1">
      <text>
        <r>
          <rPr>
            <b/>
            <sz val="9"/>
            <color indexed="81"/>
            <rFont val="Tahoma"/>
            <family val="2"/>
          </rPr>
          <t>Este dato se obtendrá directamente de la sección 2. Dedicación.</t>
        </r>
      </text>
    </comment>
  </commentList>
</comments>
</file>

<file path=xl/sharedStrings.xml><?xml version="1.0" encoding="utf-8"?>
<sst xmlns="http://schemas.openxmlformats.org/spreadsheetml/2006/main" count="288" uniqueCount="237">
  <si>
    <t>RUBRO</t>
  </si>
  <si>
    <t>PUNTOS</t>
  </si>
  <si>
    <t>Subtotal 1</t>
  </si>
  <si>
    <t>Subtotal 2</t>
  </si>
  <si>
    <t>Acumulado</t>
  </si>
  <si>
    <t>1. Calidad en la docencia (Máximo de 250 puntos)</t>
  </si>
  <si>
    <t xml:space="preserve">1.1.1. Grado Académico </t>
  </si>
  <si>
    <t>1.1.1.1. Maestría (100 puntos)</t>
  </si>
  <si>
    <t>1.1.1.2. Especialidad médica (100 puntos)</t>
  </si>
  <si>
    <t>1.1.1.3. Doctorado (130 puntos)</t>
  </si>
  <si>
    <t>TOTAL DE PUNTOS POR GRADO ACADÉMICO: (130 PUNTOS MÁXIMO)</t>
  </si>
  <si>
    <t>1.1.2. Actualización en el último año:</t>
  </si>
  <si>
    <t>1.1.2.1. Cursos o talleres de formación docente (0.5 puntos por cada hora, 30 puntos máximo)</t>
  </si>
  <si>
    <t>Curso o taller</t>
  </si>
  <si>
    <t>Horas</t>
  </si>
  <si>
    <t>1.1.2.2. Actualización disciplinaria con evaluación (0.5 punto por cada hora, 15 puntos máximo)</t>
  </si>
  <si>
    <t>1.1.2.3. Asistencia a eventos profesionales: Seminarios, congresos o simposiums (3 puntos por evento, 12 puntos máximo)</t>
  </si>
  <si>
    <t>Seminario, congreso o simposiums</t>
  </si>
  <si>
    <t>1.1.2.4. Diplomado acreditado en el área disciplinar y/o pedagógica del docente (20 puntos por diplomado, 40 puntos máximo)</t>
  </si>
  <si>
    <t>Diplomado</t>
  </si>
  <si>
    <t>1.1.2.5. Estancias cortas autorizadas:</t>
  </si>
  <si>
    <t>Oficio</t>
  </si>
  <si>
    <t xml:space="preserve">     * Nacionales (10 puntos por semana)</t>
  </si>
  <si>
    <t xml:space="preserve">     * Internacionales (15 puntos por semana)</t>
  </si>
  <si>
    <t>1.1.2.6. Traducción de artículos empleados en el curso (1 punto por artículo, 5 puntos máximo)</t>
  </si>
  <si>
    <t>TOTAL DE PUNTOS POR ACTUALIZACIÓN:</t>
  </si>
  <si>
    <t>1.1.3. Evaluación del desempeño docente (50 puntos máximo al año):</t>
  </si>
  <si>
    <t xml:space="preserve"> * Evaluación realizada por los alumnos (10 puntos máximo por semestre)</t>
  </si>
  <si>
    <t xml:space="preserve">             Resultado del semestre agosto-diciembre (calificación máxima 5 y mínima 1)</t>
  </si>
  <si>
    <t xml:space="preserve">             Resultado del semestre enero-junio (calificación máxima 5 y mínima 1)</t>
  </si>
  <si>
    <t xml:space="preserve"> * Evaluación realizada por la autoridad académica (5 puntos por semestre)</t>
  </si>
  <si>
    <t>1.1.3.1. Puntualidad y cumplimiento de su horario (10 puntos por semestre, máximo 20 puntos al año)</t>
  </si>
  <si>
    <t xml:space="preserve"> Oficio </t>
  </si>
  <si>
    <t xml:space="preserve">             Porcentaje de asistencia del semestre agosto-diciembre (para ser tomado en cuenta máximo 100%, mínimo 90%)</t>
  </si>
  <si>
    <t xml:space="preserve">             Porcentaje de asistencia del semestre enero-junio (para ser tomado en cuenta máximo 100%, mínimo 90%)</t>
  </si>
  <si>
    <t>1.1.3.2. Elaboración de exámenes departamentales (10 puntos por examen, máximo 20 puntos al año)</t>
  </si>
  <si>
    <t>TOTAL DE PUNTOS POR EVALUACIÓN DEL DESEMPEÑO DOCENTE: (50 PUNTOS MÁXIMO)</t>
  </si>
  <si>
    <t>1.1.4. Material didáctico (80 puntos máximo):</t>
  </si>
  <si>
    <t>1.1.4.1. Material didáctico innovador en sus asignaturas evaluado por la academia (20 puntos por material)</t>
  </si>
  <si>
    <t>1.1.4.2. Software educativo sobre sus asignaturas (20 puntos por software)</t>
  </si>
  <si>
    <t>1.1.4.3. Antologías, guías, manuales (20 puntos por material)</t>
  </si>
  <si>
    <t>1.1.4.4. Ponente en cursos, talleres extracurriculares (1 punto por hora, 20 puntos máximo)</t>
  </si>
  <si>
    <t>TOTAL DE PUNTOS POR DESARROLLO DE MATERIAL DIDÁCTICO: (80 PUNTOS MÁXIMO)</t>
  </si>
  <si>
    <t>TOTAL DE PUNTOS EN EL DESEMPEÑO EN LA DOCENCIA (250 PUNTOS MÁXIMO)</t>
  </si>
  <si>
    <t>2. Investigación (Máximo de 125 puntos)</t>
  </si>
  <si>
    <t>2.2.1. Participación en proyectos de generación y aplicación de conocimiento:</t>
  </si>
  <si>
    <t>* Con financiamiento interno (20 puntos)</t>
  </si>
  <si>
    <t>* Con financiamiento externo (35 puntos)</t>
  </si>
  <si>
    <t>2.2.2. Responsable de proyectos de generación y aplicación del conocimiento (20 puntos)</t>
  </si>
  <si>
    <t>2.2.3. Por cada cita bibliográfica de trabajos del profesor por otro autor (4 puntos por cita comprobable)</t>
  </si>
  <si>
    <t>2.2.4. Por obtención de recursos externos para la institución, producto de la actividad de generación y aplicación del conocimiento  (10 puntos)</t>
  </si>
  <si>
    <t>2.2.5. Proyectos de generación y aplicación de conocimiento que contribuyan a disminuir la deserción, reprobación escolar y mejorar el nivel académico de los estudiantes (25 puntos, 50 puntos máximo)</t>
  </si>
  <si>
    <t xml:space="preserve">2.2.6. Publicación de artículos en revistas especializadas con arbitraje: </t>
  </si>
  <si>
    <t>*Circulación Nacional (15 puntos por artículo, máximo 60 puntos)</t>
  </si>
  <si>
    <t>* Circulación Internacional (20 puntos por artículo, máximo 80 puntos)</t>
  </si>
  <si>
    <t>2.2.7. Publicación de libros en editoriales nacionales e internacionales</t>
  </si>
  <si>
    <t>* Autor (150 puntos)</t>
  </si>
  <si>
    <t>* Revisor (15 puntos)</t>
  </si>
  <si>
    <t>2.2.8. Publicación en Editorial de la Universidad Autónoma de Chihuahua</t>
  </si>
  <si>
    <t>* Textos universitarios (100 puntos)</t>
  </si>
  <si>
    <t>* Colección Flor de Arena (50 puntos)</t>
  </si>
  <si>
    <t>2.2.9. Publicación de libros</t>
  </si>
  <si>
    <t>* Reedición de libros (25 puntos)</t>
  </si>
  <si>
    <t>* Reimpresión de libros (15 puntos)</t>
  </si>
  <si>
    <t>2.2.10. Publicación de memorias con arbitraje en eventos académicos (15 puntos)</t>
  </si>
  <si>
    <t>2.2.11. Publicación de artículos en revistas sin arbitraje (5 por artículo, máximo 25 puntos)</t>
  </si>
  <si>
    <t>2.2.12. Conferencias y seminarios impartidos:</t>
  </si>
  <si>
    <t>* En congresos nacionales (10 puntos por congreso, 20 puntos máximo)</t>
  </si>
  <si>
    <t>* En congresos internacionales (15 puntos por congreso, 30 puntos como máximo)</t>
  </si>
  <si>
    <t>2.2.13. Participación como ponente magistral en congresos:</t>
  </si>
  <si>
    <t>* Nacional (20 puntos, 40 puntos máximo)</t>
  </si>
  <si>
    <t>* Internacional (30 puntos, 60 puntos como máximo)</t>
  </si>
  <si>
    <t>2.2.14. Creación, publicación, representación y/o exhibición de obras artísticas originales e inéditas. La obra deberá ser presentada en público, con la participación de la Universidad Autónoma de Chihuahua (40 puntos, máximo 80 puntos)</t>
  </si>
  <si>
    <t>Nombre de la obra</t>
  </si>
  <si>
    <t>Lugar de presentación</t>
  </si>
  <si>
    <t>2.2.15. Concertista, solista, expositor, coreográfo, escenográfo, actor o director  en foros de reconocido nível artístico en representación de la Universidad Autónoma de Chihuahua:</t>
  </si>
  <si>
    <t>* Local (3 puntos por evento, 24 puntos como máximo)</t>
  </si>
  <si>
    <t>* Nacional (7 puntos por evento, 28 puntos como máximo)</t>
  </si>
  <si>
    <t>* Internacional (12 puntos, 24 puntos como máximo)</t>
  </si>
  <si>
    <t>2.2.16. Recibir premios de reconocido prestigio en la disciplina del docente:</t>
  </si>
  <si>
    <t>* Regional (15 puntos como máximo)</t>
  </si>
  <si>
    <t>* Nacional (25 puntos como máximo)</t>
  </si>
  <si>
    <t>* Internacional (35 puntos máximo)</t>
  </si>
  <si>
    <t>2.2.17. Impartición de cursos organizados por la Universidad Autónoma de Chihuahua con vinculación con los sectores social o productivo (5 puntos por curso, 25 puntos máximo)</t>
  </si>
  <si>
    <t>TOTAL DE PUNTOS EN INVESTIGACIÓN EN LA DOCENCIA (125 PUNTOS MÁXIMO)</t>
  </si>
  <si>
    <t>3. Tutorías (Máximo 225 puntos)</t>
  </si>
  <si>
    <t>3.3.1. Tesis dirigidas y concluidas:</t>
  </si>
  <si>
    <t>* Licenciatura (5 puntos por tesis, 30 puntos máximo)</t>
  </si>
  <si>
    <t>* Maestría (10 por tesis, 50 puntos máximo)</t>
  </si>
  <si>
    <t>* Doctorado (20 puntos por tesis, 60 puntos máximo)</t>
  </si>
  <si>
    <t>3.3.2. Revisor de tesis (2 puntos por tesis, máximo 30 puntos máximo)</t>
  </si>
  <si>
    <t>3.3.3. Tesinas (2 puntos por tesina, 20 puntos máximo)</t>
  </si>
  <si>
    <t>3.3.4. Asesoria o revisión de memorias, monografías, trabajos liberados (6 puntos por asesoria, 30 puntos máximo)</t>
  </si>
  <si>
    <t>3.3.5. Asesoría a prestadores de servicio social en:</t>
  </si>
  <si>
    <t xml:space="preserve"> * Brigadas (8 puntos por brigada, 40 puntos máximo)</t>
  </si>
  <si>
    <t xml:space="preserve"> * Brigadas Multidisciplinarias (15 puntos por brigada, 30 puntos máximo)</t>
  </si>
  <si>
    <t>3.3.6. Asesorías académicas a alumnos (0.5 puntos por asesoría, 30 puntos máximo)</t>
  </si>
  <si>
    <t xml:space="preserve">    Alumnos asesoría del semestre enero-junio (0.5 puntos por asesoría, máximo 15 por semestre)</t>
  </si>
  <si>
    <t xml:space="preserve">    Alumnos asesoría del semestre agosto-diciembre (0.5 puntos por asesosía, máximo 15 por semestre)</t>
  </si>
  <si>
    <t xml:space="preserve"> * Nacional (15 puntos, 30 puntos máximo)</t>
  </si>
  <si>
    <t xml:space="preserve"> * Internacional (20 puntos, 40 puntos máximo)</t>
  </si>
  <si>
    <t>3.3.9. Premios de reconocimiento en actividades deportivas:</t>
  </si>
  <si>
    <t xml:space="preserve"> * Estatal (15 puntos, 30 puntos máximo)</t>
  </si>
  <si>
    <t xml:space="preserve"> * Nacional (20 puntos, 40 puntos máximo)</t>
  </si>
  <si>
    <t>TOTAL DE PUNTOS EN TUTORÍAS, EXTENSIÓN, DIFUSIÓN (225 PUNTOS MÁXIMO)</t>
  </si>
  <si>
    <t>4. Participación en Cuerpos Colegiados y Gestión Académica (100 puntos máximo)</t>
  </si>
  <si>
    <t>4.4.1. Coordinador de Programa Educativo o de Tutorías (25 puntos máximo)</t>
  </si>
  <si>
    <t>4.4.2. Responsable de la reestructuración y/o elaboración de planes de estudio (25 puntos máximo)</t>
  </si>
  <si>
    <t>4.4.3. Responsable de Laboratorio o Academia (10 puntos)</t>
  </si>
  <si>
    <t>4.4.5. Evaluador de programas académicos (CIEES, CONACYT, Organismos Acreditables) (20 puntos)</t>
  </si>
  <si>
    <t>4.4.6. Organización de Eventos (40 puntos máximo)</t>
  </si>
  <si>
    <t>4.4.6.1. Seminarios:</t>
  </si>
  <si>
    <t xml:space="preserve">     * Comité Organizador (8 puntos por seminario)</t>
  </si>
  <si>
    <t xml:space="preserve">     * Comisión de Apoyo (4 puntos por seminario)</t>
  </si>
  <si>
    <t>4.4.6.2. Congresos:</t>
  </si>
  <si>
    <t xml:space="preserve">     * Comité Organizador (20 puntos por congreso)</t>
  </si>
  <si>
    <t xml:space="preserve">     * Comisión de Apoyo (10 puntos por congreso)</t>
  </si>
  <si>
    <t>4.4.6.3. Diplomado, Semana Académica, Cultural, Deportiva:</t>
  </si>
  <si>
    <t xml:space="preserve">     * Comité Organizador (15 puntos por seminario)</t>
  </si>
  <si>
    <t xml:space="preserve">     * Comisión de Apoyo (8 puntos por seminario)</t>
  </si>
  <si>
    <t>4.4.8. Su contribución al aprovechamiento de los alumnos, disminución de la tasa de reprobación o deserción, aumento de las tasas de titulación, se evaluará por su unidad académica (20 puntos máximo por propuesta)</t>
  </si>
  <si>
    <t>4.4.9. Contribución a la formación de redes de Cuerpos Académicos Nacionales o Internacionales (20 puntos por acción)</t>
  </si>
  <si>
    <t>TOTAL DE PUNTOS POR PARTICIPACIÓN EN CUERPOS COLEGIADOS Y GESTIÓN ACADÉMICA (100 PUNTOS MÁXIMO)</t>
  </si>
  <si>
    <t>TOTAL DE PUNTOS CALIDAD EN EL DESEMPEÑO DOCENTE (700 PUNTOS MÁXIMO)</t>
  </si>
  <si>
    <t>Ninguno</t>
  </si>
  <si>
    <t>1. Consolidado</t>
  </si>
  <si>
    <t>2. En consolidación</t>
  </si>
  <si>
    <t>4.4.7. La Evolución progresiva del cuerpo académico al que pertenece (Consolidado 100 puntos,  En consolidación 50 punto):</t>
  </si>
  <si>
    <t>CANT.</t>
  </si>
  <si>
    <t>II. DEDICACIÓN (200 PUNTOS MÁXIMO)</t>
  </si>
  <si>
    <r>
      <t xml:space="preserve">Carga Académica. Anotar las materias impartidas en el </t>
    </r>
    <r>
      <rPr>
        <b/>
        <sz val="16"/>
        <rFont val="Arial"/>
        <family val="2"/>
      </rPr>
      <t>último año.</t>
    </r>
  </si>
  <si>
    <t>SEMESTRES/MATERIAS</t>
  </si>
  <si>
    <t>Nombre de la materia</t>
  </si>
  <si>
    <t>Hrs/Sem</t>
  </si>
  <si>
    <t>Puntos por nivel</t>
  </si>
  <si>
    <t>Sem enero-junio</t>
  </si>
  <si>
    <t>Puntos por el semestre: enero - junio</t>
  </si>
  <si>
    <t>Sem agosto-diciembre</t>
  </si>
  <si>
    <t>Puntos por el semestre: agosto - diciembre</t>
  </si>
  <si>
    <t>TOTAL DE PUNTOS POR DEDICACIÓN (200 PUNTOS MÁXIMO)</t>
  </si>
  <si>
    <t>III. PERMANENCIA (100 PUNTOS MÁXIMO)</t>
  </si>
  <si>
    <t xml:space="preserve">Se evaluará el tiempo de decicación o permanencia a sus clases </t>
  </si>
  <si>
    <t>a)  5 puntos por cada año cumplido en la Universidad Autónoma de Chihuahua (100 puntos máximo)</t>
  </si>
  <si>
    <t>TOTAL DE PUNTOS POR PERMANENCIA: (100 PUNTOS MÁXIMO)</t>
  </si>
  <si>
    <t>TOTAL DE PUNTOS EN LA EVALUACIÓN:</t>
  </si>
  <si>
    <t>Nivel técnico (5 puntos por año/ hr clase / semana / grupo)</t>
  </si>
  <si>
    <t>Nivel licenciatura (10 puntos por año / hr clase / semana / grupo)</t>
  </si>
  <si>
    <t>Nivel maestría (12 puntos por año / hr clase / semana / grupo, SEMESTRE)</t>
  </si>
  <si>
    <t>Nivel maestría (12 puntos por año / hr clase / semana / grupo, TRIMESTRE)</t>
  </si>
  <si>
    <t>Nivel doctorado (14 puntos por año / hr clase / semana / grupo)</t>
  </si>
  <si>
    <t>Nivel Académico</t>
  </si>
  <si>
    <t>Técnico</t>
  </si>
  <si>
    <t>Licenciatura</t>
  </si>
  <si>
    <t>Maestría - Especialidad (Semestral)</t>
  </si>
  <si>
    <t>Maestría - Especialidad (Trimestral)</t>
  </si>
  <si>
    <t>Subtotal</t>
  </si>
  <si>
    <t>NOMBRE DEL DOCENTE</t>
  </si>
  <si>
    <t>NÚMERO DE EMPLEADO</t>
  </si>
  <si>
    <t>Correo electrónico</t>
  </si>
  <si>
    <t>R.F.C.</t>
  </si>
  <si>
    <t>C.U.R.P.</t>
  </si>
  <si>
    <r>
      <t>FECHA DE INGRESO (</t>
    </r>
    <r>
      <rPr>
        <b/>
        <sz val="14"/>
        <rFont val="Arial"/>
        <family val="2"/>
      </rPr>
      <t>dd/mm/aaaa</t>
    </r>
    <r>
      <rPr>
        <sz val="14"/>
        <rFont val="Arial"/>
        <family val="2"/>
      </rPr>
      <t>)</t>
    </r>
  </si>
  <si>
    <t>UNIDAD ACADÉMICA</t>
  </si>
  <si>
    <t>DES</t>
  </si>
  <si>
    <t>AREA DEL CONOCIMIENTO</t>
  </si>
  <si>
    <t>CATEGORÍA</t>
  </si>
  <si>
    <t>MÁXIMO GRADO ACADÉMICO</t>
  </si>
  <si>
    <t>NIVEL EN EL S.N.I.</t>
  </si>
  <si>
    <t>Inicio</t>
  </si>
  <si>
    <t>Vencimiento</t>
  </si>
  <si>
    <t>NÚM. DE HORAS CLASE POR SEMESTRE</t>
  </si>
  <si>
    <t>RESUMEN DE PUNTUACIÓN</t>
  </si>
  <si>
    <t>NIVEL</t>
  </si>
  <si>
    <t>NIVEL ALCANZADO</t>
  </si>
  <si>
    <t>FIRMA DE LA COMISIÓN:</t>
  </si>
  <si>
    <t>FECHA DE REVISIÓN:</t>
  </si>
  <si>
    <t>MANIFIESTO LA VERACIDAD DE LAS EVIDENCIAS Y MI DISPOSICIÓN PARA SER  EVALUADO (Art 16, Fracc. VI. Reglamento).  FIRMA DEL DOCENTE:</t>
  </si>
  <si>
    <t>INGENIERÍA</t>
  </si>
  <si>
    <t>FACULTAD DE DERECHO</t>
  </si>
  <si>
    <t>FACULTAD DE CONTADURÍA Y ADMINISTRACIÓN</t>
  </si>
  <si>
    <t>FACULTAD DE CIENCIAS POLÍTICAS Y SOCIALES</t>
  </si>
  <si>
    <t>FACULTAD DE ECONOMÍA INTERNACIONAL</t>
  </si>
  <si>
    <t>EDUCACIÓN Y CULTURA</t>
  </si>
  <si>
    <t>ÁREA DE SALUD</t>
  </si>
  <si>
    <t>ÁREA AGROPECUARIA</t>
  </si>
  <si>
    <t>CIENCIAS AGROPECUARIAS</t>
  </si>
  <si>
    <t>CIENCIAS NATURALES Y EXACTAS</t>
  </si>
  <si>
    <t>CIENCIAS DE LA SALUD</t>
  </si>
  <si>
    <t>CIENCIAS SOCIALES Y ADMINISTRATIVAS</t>
  </si>
  <si>
    <t>EDUCACIÓN Y HUMANIDADES</t>
  </si>
  <si>
    <t>INGENIERÍA Y TECNOLOGÍA</t>
  </si>
  <si>
    <t>ARQUITECTURA, DISEÑO Y URBANISMO</t>
  </si>
  <si>
    <t>ACADÉMICO ASOCIADO A</t>
  </si>
  <si>
    <t>ACADÉMICO ASOCIADO B</t>
  </si>
  <si>
    <t>ACADÉMICO ASOCIADO C</t>
  </si>
  <si>
    <t>ACADÉMICO TITULAR A</t>
  </si>
  <si>
    <t>ACADÉMICO TITULAR B</t>
  </si>
  <si>
    <t>ACADÉMICO TITULAR C</t>
  </si>
  <si>
    <t>TÉCNICO ASOCIADO A</t>
  </si>
  <si>
    <t>TÉCNICO ASOCIADO B</t>
  </si>
  <si>
    <t>TÉCNICO ASOCIADO C</t>
  </si>
  <si>
    <t>TÉCNICO TITULAR A</t>
  </si>
  <si>
    <t>TÉCNICO TITULAR B</t>
  </si>
  <si>
    <t>TÉCNICO TITULAR C</t>
  </si>
  <si>
    <t>MAESTRÍA</t>
  </si>
  <si>
    <t>ESPECIALIDAD</t>
  </si>
  <si>
    <t>DOCTORADO</t>
  </si>
  <si>
    <t>NO PERTENECE AL SIN</t>
  </si>
  <si>
    <t>CANDIDATO</t>
  </si>
  <si>
    <t>NIVEL I</t>
  </si>
  <si>
    <t>NIVEL II</t>
  </si>
  <si>
    <t>NIVEL III</t>
  </si>
  <si>
    <t>FACULTAD DE ARTES</t>
  </si>
  <si>
    <t>FACULTAD DE CIENCIAS AGRICOLAS Y FORESTALES</t>
  </si>
  <si>
    <t>FACULTAD DE CIENCIAS AGROTECNOLOGICAS</t>
  </si>
  <si>
    <t>FACULTAD DE CIENCIAS DE LA CULTURA FISICA</t>
  </si>
  <si>
    <t>FACULTAD DE CIENCIAS POLITICAS Y SOCIALES</t>
  </si>
  <si>
    <t>FACULTAD DE CIENCIAS QUIMICAS</t>
  </si>
  <si>
    <t>FACULTAD DE CONTADURIA Y ADMINISTRACION</t>
  </si>
  <si>
    <t>FACULTAD DE ENFERMERIA Y NUTRIOLOGIA</t>
  </si>
  <si>
    <t>FACULTAD DE FILOSOFIA Y LETRAS</t>
  </si>
  <si>
    <t>FACULTAD DE INGENIERIA</t>
  </si>
  <si>
    <t>FACULTAD DE MEDICINA Y CIENCIAS BIOMEDICAS</t>
  </si>
  <si>
    <t>FACULTAD DE ODONTOLOGIA</t>
  </si>
  <si>
    <t>FACULTAD DE ZOOTECNIA Y ECOLOGIA</t>
  </si>
  <si>
    <r>
      <rPr>
        <b/>
        <sz val="14"/>
        <color theme="1"/>
        <rFont val="Calibri"/>
        <family val="2"/>
        <scheme val="minor"/>
      </rPr>
      <t>Instrucciones de llenado:</t>
    </r>
    <r>
      <rPr>
        <sz val="14"/>
        <color theme="1"/>
        <rFont val="Calibri"/>
        <family val="2"/>
        <scheme val="minor"/>
      </rPr>
      <t xml:space="preserve"> para el correcto funcionamiento del instrumento U060, es necesario que captura la información en las celdas de color VERDE, ya sea seleccionado de la lista, marcando la casilla o tecleando el dato según corresponda</t>
    </r>
  </si>
  <si>
    <t>Doctorado (Semestral)</t>
  </si>
  <si>
    <t>Doctorado (Trimestral)</t>
  </si>
  <si>
    <r>
      <t xml:space="preserve">PERFIL PRODEP: </t>
    </r>
    <r>
      <rPr>
        <sz val="14"/>
        <color theme="1"/>
        <rFont val="Arial"/>
        <family val="2"/>
      </rPr>
      <t>SI o NO</t>
    </r>
    <r>
      <rPr>
        <sz val="14"/>
        <rFont val="Arial"/>
        <family val="2"/>
      </rPr>
      <t xml:space="preserve">                       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</t>
    </r>
    <r>
      <rPr>
        <i/>
        <sz val="9"/>
        <color theme="1"/>
        <rFont val="Arial"/>
        <family val="2"/>
      </rPr>
      <t>(INCLUIR FECHA DE INICIO Y DE VENCIMIENTO DEL PERFIL CON FORMATO DÍA/MES/AÑO, EJEMPLO: 05/11/2010)</t>
    </r>
  </si>
  <si>
    <t>* Compilador o autor de capítulo (s) de libro (20 puntos)</t>
  </si>
  <si>
    <t>3.3.7. Tutorías (5 puntos por alumno tutorado al menos 3 veces en el semestre, 100 puntos máximo por año)</t>
  </si>
  <si>
    <t xml:space="preserve">    Alumnos tutorados del semestre enero-junio (5 puntos por alumno, máximo 50 por semestre)</t>
  </si>
  <si>
    <t xml:space="preserve">    Alumnos tutorados del semestre agosto-diciembre (5 puntos por alumno, máximo 50 por semestre)</t>
  </si>
  <si>
    <t>3.3.8. Premios de reconocido prestigio nacional o internacional otorgado a estudiantes por labor realizada bajo la supervisión  del docente</t>
  </si>
  <si>
    <t>4.4.4. Participar en comisiones académicas (editoriales, dictaminadoras, evaluadoras, ESDEPED, PFCE, PNPC, PRODEP) (10 puntos)</t>
  </si>
  <si>
    <t xml:space="preserve"> * Proyectos individuales (1 punto por alumno asesorado, 20 puntos máximo)</t>
  </si>
  <si>
    <t>CENTRO UNIVERSITARIO PARRAL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</si>
</sst>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.0_-;\-* #,##0.0_-;_-* \-??_-;_-@_-"/>
    <numFmt numFmtId="165" formatCode="_-* #,##0_-;\-* #,##0_-;_-* \-??_-;_-@_-"/>
    <numFmt numFmtId="166" formatCode="[$-80A]d&quot; de &quot;mmmm&quot; de &quot;yyyy;@"/>
    <numFmt numFmtId="167" formatCode="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sz val="16"/>
      <name val="Arial"/>
      <family val="2"/>
    </font>
    <font>
      <sz val="13"/>
      <color theme="1"/>
      <name val="Calibri"/>
      <family val="2"/>
      <scheme val="minor"/>
    </font>
    <font>
      <sz val="13"/>
      <name val="Arial"/>
      <family val="2"/>
    </font>
    <font>
      <b/>
      <sz val="17"/>
      <name val="Arial"/>
      <family val="2"/>
    </font>
    <font>
      <sz val="14"/>
      <color theme="1"/>
      <name val="Calibri"/>
      <family val="2"/>
      <scheme val="minor"/>
    </font>
    <font>
      <sz val="18"/>
      <name val="Arial"/>
      <family val="2"/>
    </font>
    <font>
      <b/>
      <sz val="36"/>
      <color indexed="9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26"/>
      <name val="Arial"/>
      <family val="2"/>
    </font>
    <font>
      <b/>
      <sz val="26"/>
      <color theme="0"/>
      <name val="Arial"/>
      <family val="2"/>
    </font>
    <font>
      <b/>
      <sz val="11"/>
      <name val="Arial"/>
      <family val="2"/>
    </font>
    <font>
      <b/>
      <sz val="14"/>
      <color indexed="81"/>
      <name val="Arial"/>
      <family val="2"/>
    </font>
    <font>
      <sz val="14"/>
      <color indexed="81"/>
      <name val="Arial"/>
      <family val="2"/>
    </font>
    <font>
      <b/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23"/>
      </patternFill>
    </fill>
    <fill>
      <patternFill patternType="solid">
        <fgColor rgb="FFCCFF99"/>
        <bgColor indexed="45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45"/>
      </patternFill>
    </fill>
    <fill>
      <patternFill patternType="solid">
        <fgColor indexed="8"/>
        <bgColor indexed="58"/>
      </patternFill>
    </fill>
    <fill>
      <patternFill patternType="solid">
        <fgColor theme="0"/>
        <bgColor indexed="45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theme="0"/>
        <bgColor indexed="26"/>
      </patternFill>
    </fill>
  </fills>
  <borders count="109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auto="1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thin">
        <color auto="1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01">
    <xf numFmtId="0" fontId="0" fillId="0" borderId="0" xfId="0"/>
    <xf numFmtId="0" fontId="2" fillId="4" borderId="1" xfId="0" applyFont="1" applyFill="1" applyBorder="1" applyAlignment="1" applyProtection="1">
      <alignment horizontal="left" vertical="top"/>
    </xf>
    <xf numFmtId="0" fontId="9" fillId="0" borderId="3" xfId="0" applyFont="1" applyFill="1" applyBorder="1" applyAlignment="1" applyProtection="1">
      <alignment horizontal="left" vertical="top" wrapText="1"/>
      <protection hidden="1"/>
    </xf>
    <xf numFmtId="0" fontId="11" fillId="7" borderId="5" xfId="0" applyFont="1" applyFill="1" applyBorder="1" applyAlignment="1" applyProtection="1">
      <alignment horizontal="left" vertical="top"/>
    </xf>
    <xf numFmtId="0" fontId="10" fillId="7" borderId="5" xfId="0" applyFont="1" applyFill="1" applyBorder="1" applyAlignment="1" applyProtection="1">
      <alignment horizontal="left" vertical="top" wrapText="1"/>
    </xf>
    <xf numFmtId="0" fontId="11" fillId="0" borderId="6" xfId="0" applyFont="1" applyBorder="1" applyAlignment="1" applyProtection="1">
      <alignment horizontal="right" vertical="top"/>
    </xf>
    <xf numFmtId="0" fontId="11" fillId="8" borderId="6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/>
    </xf>
    <xf numFmtId="0" fontId="11" fillId="0" borderId="0" xfId="0" applyFont="1" applyBorder="1" applyAlignment="1" applyProtection="1">
      <alignment horizontal="left" vertical="top" wrapText="1"/>
    </xf>
    <xf numFmtId="0" fontId="10" fillId="7" borderId="5" xfId="0" applyFont="1" applyFill="1" applyBorder="1" applyAlignment="1" applyProtection="1">
      <alignment horizontal="left" vertical="top"/>
    </xf>
    <xf numFmtId="0" fontId="9" fillId="0" borderId="7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right" vertical="top"/>
    </xf>
    <xf numFmtId="0" fontId="9" fillId="8" borderId="6" xfId="0" applyFont="1" applyFill="1" applyBorder="1" applyAlignment="1" applyProtection="1">
      <alignment horizontal="left" vertical="top" wrapText="1"/>
      <protection locked="0"/>
    </xf>
    <xf numFmtId="0" fontId="9" fillId="0" borderId="8" xfId="0" applyFont="1" applyBorder="1" applyAlignment="1" applyProtection="1">
      <alignment horizontal="right" vertical="top"/>
    </xf>
    <xf numFmtId="0" fontId="9" fillId="8" borderId="8" xfId="0" applyFont="1" applyFill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/>
      <protection hidden="1"/>
    </xf>
    <xf numFmtId="0" fontId="11" fillId="0" borderId="0" xfId="0" applyFont="1" applyBorder="1" applyAlignment="1" applyProtection="1">
      <alignment horizontal="left" vertical="top"/>
      <protection hidden="1"/>
    </xf>
    <xf numFmtId="0" fontId="12" fillId="9" borderId="4" xfId="3" applyNumberFormat="1" applyFill="1" applyBorder="1" applyAlignment="1" applyProtection="1">
      <alignment horizontal="center" vertical="center" wrapText="1"/>
    </xf>
    <xf numFmtId="0" fontId="11" fillId="9" borderId="4" xfId="0" applyFont="1" applyFill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left" vertical="top" wrapText="1"/>
      <protection hidden="1"/>
    </xf>
    <xf numFmtId="0" fontId="11" fillId="0" borderId="7" xfId="0" applyFont="1" applyBorder="1" applyAlignment="1" applyProtection="1">
      <alignment horizontal="center" vertical="center" wrapText="1"/>
    </xf>
    <xf numFmtId="0" fontId="8" fillId="6" borderId="3" xfId="0" applyFont="1" applyFill="1" applyBorder="1" applyAlignment="1" applyProtection="1">
      <alignment horizontal="left" vertical="top"/>
      <protection hidden="1"/>
    </xf>
    <xf numFmtId="0" fontId="9" fillId="0" borderId="3" xfId="0" applyFont="1" applyBorder="1" applyAlignment="1" applyProtection="1">
      <alignment horizontal="left" vertical="top"/>
      <protection hidden="1"/>
    </xf>
    <xf numFmtId="0" fontId="11" fillId="0" borderId="7" xfId="0" applyFont="1" applyBorder="1" applyAlignment="1" applyProtection="1">
      <alignment horizontal="center" vertical="top" wrapText="1"/>
    </xf>
    <xf numFmtId="164" fontId="12" fillId="0" borderId="4" xfId="3" applyNumberFormat="1" applyFill="1" applyBorder="1" applyAlignment="1" applyProtection="1">
      <alignment horizontal="center" vertical="top"/>
    </xf>
    <xf numFmtId="0" fontId="12" fillId="0" borderId="4" xfId="3" applyNumberFormat="1" applyFill="1" applyBorder="1" applyAlignment="1" applyProtection="1">
      <alignment horizontal="center" vertical="top" wrapText="1"/>
    </xf>
    <xf numFmtId="0" fontId="11" fillId="0" borderId="9" xfId="0" applyFont="1" applyBorder="1" applyAlignment="1" applyProtection="1">
      <protection hidden="1"/>
    </xf>
    <xf numFmtId="0" fontId="10" fillId="0" borderId="1" xfId="0" applyFont="1" applyBorder="1" applyAlignment="1" applyProtection="1">
      <alignment horizontal="left" vertical="top"/>
      <protection hidden="1"/>
    </xf>
    <xf numFmtId="0" fontId="10" fillId="0" borderId="0" xfId="0" applyFont="1" applyBorder="1" applyAlignment="1" applyProtection="1">
      <alignment horizontal="left" vertical="top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10" fillId="0" borderId="7" xfId="0" applyFont="1" applyBorder="1" applyAlignment="1" applyProtection="1">
      <alignment horizontal="center" vertical="top" wrapText="1"/>
    </xf>
    <xf numFmtId="0" fontId="11" fillId="0" borderId="1" xfId="0" applyFont="1" applyBorder="1" applyAlignment="1" applyProtection="1">
      <protection hidden="1"/>
    </xf>
    <xf numFmtId="0" fontId="9" fillId="0" borderId="0" xfId="0" applyFont="1" applyBorder="1" applyAlignment="1" applyProtection="1">
      <alignment horizontal="left" vertical="top"/>
      <protection hidden="1"/>
    </xf>
    <xf numFmtId="0" fontId="9" fillId="11" borderId="3" xfId="0" applyFont="1" applyFill="1" applyBorder="1" applyAlignment="1" applyProtection="1">
      <alignment horizontal="left" vertical="top"/>
      <protection hidden="1"/>
    </xf>
    <xf numFmtId="0" fontId="9" fillId="3" borderId="0" xfId="0" applyFont="1" applyFill="1" applyBorder="1" applyAlignment="1" applyProtection="1">
      <alignment horizontal="left" vertical="top"/>
      <protection hidden="1"/>
    </xf>
    <xf numFmtId="0" fontId="9" fillId="11" borderId="3" xfId="0" applyFont="1" applyFill="1" applyBorder="1" applyAlignment="1" applyProtection="1">
      <alignment horizontal="left" vertical="center" wrapText="1"/>
      <protection hidden="1"/>
    </xf>
    <xf numFmtId="0" fontId="11" fillId="3" borderId="0" xfId="0" applyFont="1" applyFill="1" applyBorder="1" applyAlignment="1" applyProtection="1">
      <alignment horizontal="left" vertical="top"/>
      <protection hidden="1"/>
    </xf>
    <xf numFmtId="0" fontId="10" fillId="0" borderId="4" xfId="3" applyNumberFormat="1" applyFont="1" applyFill="1" applyBorder="1" applyAlignment="1" applyProtection="1">
      <alignment horizontal="center" vertical="center" wrapText="1"/>
    </xf>
    <xf numFmtId="0" fontId="14" fillId="0" borderId="9" xfId="0" applyFont="1" applyBorder="1" applyAlignment="1" applyProtection="1">
      <alignment vertical="center"/>
      <protection hidden="1"/>
    </xf>
    <xf numFmtId="0" fontId="11" fillId="0" borderId="1" xfId="0" applyFont="1" applyFill="1" applyBorder="1" applyAlignment="1" applyProtection="1">
      <alignment horizontal="left" vertical="top"/>
      <protection hidden="1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9" fillId="0" borderId="3" xfId="0" applyFont="1" applyFill="1" applyBorder="1" applyAlignment="1" applyProtection="1">
      <alignment horizontal="left" vertical="center" wrapText="1"/>
      <protection hidden="1"/>
    </xf>
    <xf numFmtId="0" fontId="9" fillId="0" borderId="3" xfId="0" applyFont="1" applyBorder="1" applyAlignment="1" applyProtection="1">
      <alignment horizontal="left" vertical="top" wrapText="1"/>
      <protection hidden="1"/>
    </xf>
    <xf numFmtId="0" fontId="9" fillId="0" borderId="10" xfId="0" applyFont="1" applyBorder="1" applyAlignment="1" applyProtection="1">
      <alignment horizontal="left" vertical="top"/>
      <protection hidden="1"/>
    </xf>
    <xf numFmtId="0" fontId="16" fillId="0" borderId="9" xfId="0" applyFont="1" applyBorder="1" applyAlignment="1" applyProtection="1">
      <protection hidden="1"/>
    </xf>
    <xf numFmtId="0" fontId="7" fillId="15" borderId="0" xfId="0" applyFont="1" applyFill="1" applyBorder="1" applyAlignment="1" applyProtection="1">
      <alignment vertical="top"/>
      <protection hidden="1"/>
    </xf>
    <xf numFmtId="0" fontId="2" fillId="0" borderId="0" xfId="0" applyFont="1" applyFill="1" applyBorder="1" applyAlignment="1" applyProtection="1">
      <alignment horizontal="left" vertical="top"/>
    </xf>
    <xf numFmtId="0" fontId="9" fillId="0" borderId="2" xfId="0" applyFont="1" applyFill="1" applyBorder="1" applyAlignment="1" applyProtection="1">
      <alignment horizontal="left" vertical="top" wrapText="1"/>
      <protection hidden="1"/>
    </xf>
    <xf numFmtId="0" fontId="9" fillId="0" borderId="12" xfId="0" applyFont="1" applyFill="1" applyBorder="1" applyAlignment="1" applyProtection="1">
      <alignment horizontal="left" vertical="top" wrapText="1"/>
      <protection hidden="1"/>
    </xf>
    <xf numFmtId="0" fontId="11" fillId="17" borderId="3" xfId="0" applyFont="1" applyFill="1" applyBorder="1" applyAlignment="1" applyProtection="1">
      <alignment horizontal="left" vertical="top"/>
      <protection hidden="1"/>
    </xf>
    <xf numFmtId="164" fontId="11" fillId="0" borderId="0" xfId="1" applyNumberFormat="1" applyFont="1" applyFill="1" applyBorder="1" applyAlignment="1" applyProtection="1">
      <alignment vertical="center"/>
    </xf>
    <xf numFmtId="0" fontId="11" fillId="0" borderId="17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9" fillId="17" borderId="3" xfId="0" applyFont="1" applyFill="1" applyBorder="1" applyAlignment="1" applyProtection="1">
      <alignment horizontal="left" vertical="top"/>
      <protection hidden="1"/>
    </xf>
    <xf numFmtId="0" fontId="9" fillId="17" borderId="3" xfId="0" applyFont="1" applyFill="1" applyBorder="1" applyAlignment="1" applyProtection="1">
      <alignment horizontal="left" vertical="top" wrapText="1"/>
      <protection hidden="1"/>
    </xf>
    <xf numFmtId="0" fontId="10" fillId="17" borderId="12" xfId="0" applyFont="1" applyFill="1" applyBorder="1" applyAlignment="1" applyProtection="1">
      <alignment horizontal="left" vertical="top"/>
      <protection hidden="1"/>
    </xf>
    <xf numFmtId="0" fontId="7" fillId="17" borderId="0" xfId="0" applyFont="1" applyFill="1" applyBorder="1" applyAlignment="1" applyProtection="1">
      <alignment horizontal="left" vertical="top"/>
      <protection hidden="1"/>
    </xf>
    <xf numFmtId="0" fontId="8" fillId="17" borderId="3" xfId="0" applyFont="1" applyFill="1" applyBorder="1" applyAlignment="1" applyProtection="1">
      <alignment horizontal="left" vertical="top"/>
      <protection hidden="1"/>
    </xf>
    <xf numFmtId="0" fontId="11" fillId="17" borderId="3" xfId="0" applyFont="1" applyFill="1" applyBorder="1" applyAlignment="1" applyProtection="1">
      <alignment horizontal="center" vertical="center" wrapText="1"/>
    </xf>
    <xf numFmtId="0" fontId="12" fillId="9" borderId="3" xfId="3" applyNumberFormat="1" applyFill="1" applyBorder="1" applyAlignment="1" applyProtection="1">
      <alignment horizontal="center" vertical="center" wrapText="1"/>
    </xf>
    <xf numFmtId="164" fontId="12" fillId="9" borderId="3" xfId="3" applyNumberFormat="1" applyFill="1" applyBorder="1" applyAlignment="1" applyProtection="1">
      <alignment horizontal="center" vertical="center" wrapText="1"/>
    </xf>
    <xf numFmtId="0" fontId="13" fillId="0" borderId="3" xfId="3" applyNumberFormat="1" applyFont="1" applyFill="1" applyBorder="1" applyAlignment="1" applyProtection="1">
      <alignment horizontal="center" vertical="center" wrapText="1"/>
    </xf>
    <xf numFmtId="0" fontId="11" fillId="17" borderId="3" xfId="0" applyFont="1" applyFill="1" applyBorder="1" applyAlignment="1" applyProtection="1">
      <alignment horizontal="center" vertical="top" wrapText="1"/>
    </xf>
    <xf numFmtId="1" fontId="18" fillId="8" borderId="15" xfId="0" applyNumberFormat="1" applyFont="1" applyFill="1" applyBorder="1" applyAlignment="1" applyProtection="1">
      <alignment horizontal="right" vertical="top" wrapText="1"/>
      <protection locked="0"/>
    </xf>
    <xf numFmtId="9" fontId="18" fillId="8" borderId="15" xfId="2" applyFont="1" applyFill="1" applyBorder="1" applyAlignment="1" applyProtection="1">
      <alignment horizontal="right" vertical="center" wrapText="1"/>
      <protection locked="0"/>
    </xf>
    <xf numFmtId="0" fontId="12" fillId="12" borderId="3" xfId="3" applyNumberFormat="1" applyFill="1" applyBorder="1" applyAlignment="1" applyProtection="1">
      <alignment horizontal="center" vertical="top" wrapText="1"/>
    </xf>
    <xf numFmtId="0" fontId="11" fillId="12" borderId="3" xfId="0" applyFont="1" applyFill="1" applyBorder="1" applyAlignment="1" applyProtection="1">
      <alignment horizontal="center" vertical="top" wrapText="1"/>
    </xf>
    <xf numFmtId="0" fontId="7" fillId="11" borderId="0" xfId="0" applyFont="1" applyFill="1" applyBorder="1" applyAlignment="1" applyProtection="1">
      <alignment horizontal="center" vertical="top" wrapText="1"/>
    </xf>
    <xf numFmtId="0" fontId="11" fillId="11" borderId="3" xfId="0" applyFont="1" applyFill="1" applyBorder="1" applyAlignment="1" applyProtection="1">
      <alignment horizontal="center" vertical="top" wrapText="1"/>
    </xf>
    <xf numFmtId="0" fontId="18" fillId="11" borderId="15" xfId="0" applyFont="1" applyFill="1" applyBorder="1" applyAlignment="1" applyProtection="1">
      <alignment horizontal="right" vertical="center"/>
      <protection hidden="1"/>
    </xf>
    <xf numFmtId="0" fontId="8" fillId="11" borderId="15" xfId="0" applyFont="1" applyFill="1" applyBorder="1" applyAlignment="1" applyProtection="1">
      <alignment horizontal="right" vertical="top"/>
      <protection hidden="1"/>
    </xf>
    <xf numFmtId="0" fontId="14" fillId="11" borderId="15" xfId="0" applyFont="1" applyFill="1" applyBorder="1" applyAlignment="1" applyProtection="1">
      <alignment horizontal="right" vertical="top"/>
      <protection hidden="1"/>
    </xf>
    <xf numFmtId="0" fontId="14" fillId="11" borderId="15" xfId="0" applyFont="1" applyFill="1" applyBorder="1" applyAlignment="1" applyProtection="1">
      <alignment horizontal="right" vertical="center"/>
      <protection hidden="1"/>
    </xf>
    <xf numFmtId="0" fontId="12" fillId="12" borderId="10" xfId="3" applyNumberFormat="1" applyFill="1" applyBorder="1" applyAlignment="1" applyProtection="1">
      <alignment horizontal="center" vertical="top" wrapText="1"/>
    </xf>
    <xf numFmtId="0" fontId="14" fillId="11" borderId="23" xfId="0" applyFont="1" applyFill="1" applyBorder="1" applyAlignment="1" applyProtection="1">
      <alignment horizontal="right" vertical="center"/>
      <protection hidden="1"/>
    </xf>
    <xf numFmtId="0" fontId="9" fillId="0" borderId="3" xfId="0" applyFont="1" applyFill="1" applyBorder="1" applyAlignment="1" applyProtection="1">
      <alignment horizontal="left" vertical="top"/>
      <protection hidden="1"/>
    </xf>
    <xf numFmtId="0" fontId="12" fillId="0" borderId="3" xfId="3" applyNumberFormat="1" applyFill="1" applyBorder="1" applyAlignment="1" applyProtection="1">
      <alignment horizontal="center" vertical="top" wrapText="1"/>
    </xf>
    <xf numFmtId="0" fontId="11" fillId="0" borderId="3" xfId="0" applyFont="1" applyFill="1" applyBorder="1" applyAlignment="1" applyProtection="1">
      <alignment horizontal="center" vertical="top" wrapText="1"/>
    </xf>
    <xf numFmtId="0" fontId="8" fillId="13" borderId="15" xfId="0" applyFont="1" applyFill="1" applyBorder="1" applyAlignment="1" applyProtection="1">
      <alignment horizontal="right" vertical="top"/>
      <protection hidden="1"/>
    </xf>
    <xf numFmtId="0" fontId="8" fillId="13" borderId="15" xfId="0" applyFont="1" applyFill="1" applyBorder="1" applyAlignment="1" applyProtection="1">
      <alignment horizontal="right" vertical="center"/>
      <protection hidden="1"/>
    </xf>
    <xf numFmtId="0" fontId="11" fillId="14" borderId="3" xfId="0" applyFont="1" applyFill="1" applyBorder="1" applyAlignment="1" applyProtection="1">
      <alignment horizontal="center" vertical="top" wrapText="1"/>
    </xf>
    <xf numFmtId="0" fontId="12" fillId="14" borderId="3" xfId="3" applyNumberFormat="1" applyFill="1" applyBorder="1" applyAlignment="1" applyProtection="1">
      <alignment horizontal="center" vertical="top" wrapText="1"/>
    </xf>
    <xf numFmtId="0" fontId="15" fillId="0" borderId="3" xfId="0" applyFont="1" applyFill="1" applyBorder="1" applyAlignment="1" applyProtection="1">
      <alignment horizontal="center" vertical="top" wrapText="1"/>
    </xf>
    <xf numFmtId="0" fontId="13" fillId="0" borderId="3" xfId="3" applyNumberFormat="1" applyFont="1" applyFill="1" applyBorder="1" applyAlignment="1" applyProtection="1">
      <alignment horizontal="center" vertical="top" wrapText="1"/>
    </xf>
    <xf numFmtId="0" fontId="11" fillId="0" borderId="3" xfId="0" applyFont="1" applyBorder="1" applyAlignment="1" applyProtection="1">
      <alignment horizontal="center" vertical="top" wrapText="1"/>
    </xf>
    <xf numFmtId="0" fontId="11" fillId="0" borderId="10" xfId="0" applyFont="1" applyBorder="1" applyAlignment="1" applyProtection="1">
      <alignment horizontal="center" vertical="top" wrapText="1"/>
    </xf>
    <xf numFmtId="0" fontId="10" fillId="0" borderId="0" xfId="0" applyFont="1" applyBorder="1" applyAlignment="1" applyProtection="1">
      <alignment horizontal="center" vertical="top" wrapText="1"/>
    </xf>
    <xf numFmtId="0" fontId="7" fillId="13" borderId="0" xfId="0" applyFont="1" applyFill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 vertical="top"/>
      <protection hidden="1"/>
    </xf>
    <xf numFmtId="0" fontId="10" fillId="0" borderId="0" xfId="0" applyFont="1" applyBorder="1" applyAlignment="1" applyProtection="1">
      <alignment horizontal="center" vertical="top"/>
    </xf>
    <xf numFmtId="164" fontId="10" fillId="0" borderId="0" xfId="1" applyNumberFormat="1" applyFont="1" applyFill="1" applyBorder="1" applyAlignment="1" applyProtection="1">
      <alignment horizontal="right" vertical="center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9" fillId="0" borderId="0" xfId="1" applyNumberFormat="1" applyFont="1" applyFill="1" applyBorder="1" applyAlignment="1" applyProtection="1">
      <alignment vertical="center"/>
      <protection hidden="1"/>
    </xf>
    <xf numFmtId="0" fontId="11" fillId="0" borderId="0" xfId="0" applyFont="1" applyBorder="1" applyAlignment="1"/>
    <xf numFmtId="165" fontId="7" fillId="0" borderId="0" xfId="1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65" fontId="2" fillId="0" borderId="0" xfId="1" applyNumberFormat="1" applyFont="1" applyFill="1" applyBorder="1" applyAlignment="1" applyProtection="1">
      <alignment vertical="center"/>
      <protection hidden="1"/>
    </xf>
    <xf numFmtId="0" fontId="8" fillId="15" borderId="15" xfId="0" applyFont="1" applyFill="1" applyBorder="1" applyAlignment="1" applyProtection="1">
      <alignment horizontal="right" vertical="top"/>
      <protection hidden="1"/>
    </xf>
    <xf numFmtId="0" fontId="8" fillId="15" borderId="15" xfId="0" applyFont="1" applyFill="1" applyBorder="1" applyAlignment="1" applyProtection="1">
      <alignment horizontal="right" vertical="center"/>
      <protection hidden="1"/>
    </xf>
    <xf numFmtId="0" fontId="7" fillId="15" borderId="0" xfId="0" applyFont="1" applyFill="1" applyBorder="1" applyAlignment="1" applyProtection="1">
      <alignment horizontal="center" vertical="top" wrapText="1"/>
    </xf>
    <xf numFmtId="0" fontId="12" fillId="16" borderId="3" xfId="3" applyNumberFormat="1" applyFill="1" applyBorder="1" applyAlignment="1" applyProtection="1">
      <alignment horizontal="center" vertical="top" wrapText="1"/>
    </xf>
    <xf numFmtId="0" fontId="11" fillId="16" borderId="3" xfId="0" applyFont="1" applyFill="1" applyBorder="1" applyAlignment="1" applyProtection="1">
      <alignment horizontal="center" vertical="top" wrapText="1"/>
    </xf>
    <xf numFmtId="0" fontId="12" fillId="16" borderId="3" xfId="3" applyFill="1" applyBorder="1" applyAlignment="1" applyProtection="1">
      <alignment horizontal="center" vertical="top" wrapText="1"/>
    </xf>
    <xf numFmtId="0" fontId="9" fillId="20" borderId="3" xfId="0" applyFont="1" applyFill="1" applyBorder="1" applyAlignment="1" applyProtection="1">
      <protection hidden="1"/>
    </xf>
    <xf numFmtId="0" fontId="12" fillId="20" borderId="3" xfId="3" applyNumberFormat="1" applyFill="1" applyBorder="1" applyAlignment="1" applyProtection="1">
      <alignment horizontal="center" vertical="top" wrapText="1"/>
    </xf>
    <xf numFmtId="0" fontId="9" fillId="20" borderId="3" xfId="0" applyFont="1" applyFill="1" applyBorder="1" applyAlignment="1" applyProtection="1">
      <alignment horizontal="left" vertical="top"/>
      <protection hidden="1"/>
    </xf>
    <xf numFmtId="0" fontId="3" fillId="2" borderId="15" xfId="0" applyFont="1" applyFill="1" applyBorder="1" applyAlignment="1" applyProtection="1">
      <alignment horizontal="center"/>
    </xf>
    <xf numFmtId="0" fontId="0" fillId="5" borderId="0" xfId="0" applyFill="1" applyProtection="1"/>
    <xf numFmtId="0" fontId="3" fillId="5" borderId="0" xfId="0" applyFont="1" applyFill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Protection="1"/>
    <xf numFmtId="0" fontId="0" fillId="17" borderId="0" xfId="0" applyFill="1" applyProtection="1"/>
    <xf numFmtId="0" fontId="3" fillId="17" borderId="0" xfId="0" applyFont="1" applyFill="1" applyProtection="1"/>
    <xf numFmtId="0" fontId="4" fillId="17" borderId="0" xfId="0" applyFont="1" applyFill="1" applyProtection="1"/>
    <xf numFmtId="0" fontId="0" fillId="0" borderId="12" xfId="0" applyBorder="1" applyProtection="1"/>
    <xf numFmtId="0" fontId="0" fillId="0" borderId="11" xfId="0" applyBorder="1" applyProtection="1"/>
    <xf numFmtId="0" fontId="11" fillId="8" borderId="18" xfId="0" applyFont="1" applyFill="1" applyBorder="1" applyAlignment="1" applyProtection="1">
      <alignment horizontal="left" vertical="top" wrapText="1"/>
    </xf>
    <xf numFmtId="0" fontId="17" fillId="17" borderId="15" xfId="0" applyFont="1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0" fillId="0" borderId="13" xfId="0" applyBorder="1" applyProtection="1"/>
    <xf numFmtId="0" fontId="0" fillId="0" borderId="14" xfId="0" applyBorder="1" applyProtection="1"/>
    <xf numFmtId="0" fontId="0" fillId="17" borderId="17" xfId="0" applyFill="1" applyBorder="1" applyProtection="1"/>
    <xf numFmtId="0" fontId="0" fillId="17" borderId="16" xfId="0" applyFill="1" applyBorder="1" applyProtection="1"/>
    <xf numFmtId="0" fontId="3" fillId="17" borderId="15" xfId="0" applyFont="1" applyFill="1" applyBorder="1" applyProtection="1"/>
    <xf numFmtId="0" fontId="4" fillId="17" borderId="15" xfId="0" applyFont="1" applyFill="1" applyBorder="1" applyProtection="1"/>
    <xf numFmtId="0" fontId="0" fillId="17" borderId="15" xfId="0" applyFill="1" applyBorder="1" applyProtection="1"/>
    <xf numFmtId="0" fontId="17" fillId="0" borderId="0" xfId="0" applyFont="1" applyProtection="1"/>
    <xf numFmtId="0" fontId="17" fillId="17" borderId="0" xfId="0" applyFont="1" applyFill="1" applyProtection="1"/>
    <xf numFmtId="0" fontId="17" fillId="17" borderId="15" xfId="0" applyFont="1" applyFill="1" applyBorder="1" applyAlignment="1" applyProtection="1">
      <alignment vertical="center"/>
    </xf>
    <xf numFmtId="0" fontId="3" fillId="17" borderId="15" xfId="0" applyFont="1" applyFill="1" applyBorder="1" applyAlignment="1" applyProtection="1">
      <alignment vertical="center"/>
    </xf>
    <xf numFmtId="0" fontId="4" fillId="17" borderId="15" xfId="0" applyFont="1" applyFill="1" applyBorder="1" applyAlignment="1" applyProtection="1">
      <alignment vertical="center"/>
    </xf>
    <xf numFmtId="0" fontId="0" fillId="17" borderId="15" xfId="0" applyFill="1" applyBorder="1" applyAlignment="1" applyProtection="1">
      <alignment vertical="center"/>
    </xf>
    <xf numFmtId="0" fontId="17" fillId="0" borderId="21" xfId="0" applyFont="1" applyBorder="1" applyProtection="1"/>
    <xf numFmtId="0" fontId="17" fillId="0" borderId="0" xfId="0" applyFont="1" applyBorder="1" applyProtection="1"/>
    <xf numFmtId="0" fontId="17" fillId="0" borderId="17" xfId="0" applyFont="1" applyBorder="1" applyProtection="1"/>
    <xf numFmtId="0" fontId="3" fillId="17" borderId="23" xfId="0" applyFont="1" applyFill="1" applyBorder="1" applyProtection="1"/>
    <xf numFmtId="0" fontId="4" fillId="17" borderId="23" xfId="0" applyFont="1" applyFill="1" applyBorder="1" applyProtection="1"/>
    <xf numFmtId="0" fontId="0" fillId="17" borderId="23" xfId="0" applyFill="1" applyBorder="1" applyProtection="1"/>
    <xf numFmtId="0" fontId="17" fillId="17" borderId="15" xfId="0" applyFont="1" applyFill="1" applyBorder="1" applyAlignment="1" applyProtection="1">
      <alignment horizontal="right"/>
    </xf>
    <xf numFmtId="0" fontId="17" fillId="0" borderId="0" xfId="0" applyFont="1" applyAlignment="1" applyProtection="1">
      <alignment horizontal="right"/>
    </xf>
    <xf numFmtId="0" fontId="5" fillId="17" borderId="15" xfId="0" applyFont="1" applyFill="1" applyBorder="1" applyProtection="1"/>
    <xf numFmtId="0" fontId="0" fillId="0" borderId="21" xfId="0" applyBorder="1" applyProtection="1"/>
    <xf numFmtId="0" fontId="17" fillId="11" borderId="17" xfId="0" applyFont="1" applyFill="1" applyBorder="1" applyProtection="1"/>
    <xf numFmtId="0" fontId="3" fillId="11" borderId="17" xfId="0" applyFont="1" applyFill="1" applyBorder="1" applyAlignment="1" applyProtection="1">
      <alignment horizontal="right"/>
    </xf>
    <xf numFmtId="0" fontId="4" fillId="11" borderId="17" xfId="0" applyFont="1" applyFill="1" applyBorder="1" applyAlignment="1" applyProtection="1">
      <alignment horizontal="right"/>
    </xf>
    <xf numFmtId="0" fontId="0" fillId="11" borderId="17" xfId="0" applyFill="1" applyBorder="1" applyProtection="1"/>
    <xf numFmtId="0" fontId="17" fillId="11" borderId="15" xfId="0" applyFont="1" applyFill="1" applyBorder="1" applyProtection="1"/>
    <xf numFmtId="0" fontId="3" fillId="11" borderId="15" xfId="0" applyFont="1" applyFill="1" applyBorder="1" applyAlignment="1" applyProtection="1">
      <alignment horizontal="right"/>
    </xf>
    <xf numFmtId="0" fontId="0" fillId="11" borderId="15" xfId="0" applyFill="1" applyBorder="1" applyProtection="1"/>
    <xf numFmtId="0" fontId="4" fillId="0" borderId="26" xfId="0" applyFont="1" applyFill="1" applyBorder="1" applyAlignment="1" applyProtection="1">
      <alignment horizontal="right"/>
    </xf>
    <xf numFmtId="0" fontId="0" fillId="0" borderId="21" xfId="0" applyFill="1" applyBorder="1" applyProtection="1"/>
    <xf numFmtId="0" fontId="4" fillId="0" borderId="27" xfId="0" applyFont="1" applyFill="1" applyBorder="1" applyAlignment="1" applyProtection="1">
      <alignment horizontal="right"/>
    </xf>
    <xf numFmtId="0" fontId="0" fillId="0" borderId="17" xfId="0" applyFill="1" applyBorder="1" applyProtection="1"/>
    <xf numFmtId="0" fontId="3" fillId="11" borderId="15" xfId="0" applyFont="1" applyFill="1" applyBorder="1" applyAlignment="1" applyProtection="1">
      <alignment horizontal="right" vertical="center"/>
    </xf>
    <xf numFmtId="0" fontId="4" fillId="0" borderId="28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12" fillId="11" borderId="0" xfId="3" applyFill="1" applyAlignment="1" applyProtection="1">
      <alignment horizontal="center" vertical="top"/>
    </xf>
    <xf numFmtId="0" fontId="17" fillId="0" borderId="0" xfId="0" applyFont="1" applyFill="1" applyProtection="1"/>
    <xf numFmtId="0" fontId="3" fillId="11" borderId="15" xfId="0" applyFont="1" applyFill="1" applyBorder="1" applyProtection="1"/>
    <xf numFmtId="0" fontId="4" fillId="0" borderId="26" xfId="0" applyFont="1" applyFill="1" applyBorder="1" applyProtection="1"/>
    <xf numFmtId="0" fontId="4" fillId="0" borderId="28" xfId="0" applyFont="1" applyFill="1" applyBorder="1" applyProtection="1"/>
    <xf numFmtId="0" fontId="4" fillId="0" borderId="27" xfId="0" applyFont="1" applyFill="1" applyBorder="1" applyProtection="1"/>
    <xf numFmtId="0" fontId="3" fillId="11" borderId="23" xfId="0" applyFont="1" applyFill="1" applyBorder="1" applyProtection="1"/>
    <xf numFmtId="0" fontId="5" fillId="11" borderId="15" xfId="0" applyFont="1" applyFill="1" applyBorder="1" applyProtection="1"/>
    <xf numFmtId="0" fontId="0" fillId="13" borderId="17" xfId="0" applyFill="1" applyBorder="1" applyProtection="1"/>
    <xf numFmtId="0" fontId="0" fillId="13" borderId="0" xfId="0" applyFill="1" applyProtection="1"/>
    <xf numFmtId="0" fontId="0" fillId="13" borderId="15" xfId="0" applyFill="1" applyBorder="1" applyProtection="1"/>
    <xf numFmtId="0" fontId="0" fillId="0" borderId="26" xfId="0" applyBorder="1" applyProtection="1"/>
    <xf numFmtId="0" fontId="0" fillId="0" borderId="28" xfId="0" applyBorder="1" applyProtection="1"/>
    <xf numFmtId="0" fontId="0" fillId="0" borderId="0" xfId="0" applyBorder="1" applyProtection="1"/>
    <xf numFmtId="0" fontId="0" fillId="0" borderId="27" xfId="0" applyBorder="1" applyProtection="1"/>
    <xf numFmtId="0" fontId="0" fillId="0" borderId="17" xfId="0" applyBorder="1" applyProtection="1"/>
    <xf numFmtId="0" fontId="5" fillId="13" borderId="15" xfId="0" applyFont="1" applyFill="1" applyBorder="1" applyProtection="1"/>
    <xf numFmtId="0" fontId="0" fillId="15" borderId="0" xfId="0" applyFill="1" applyBorder="1" applyProtection="1"/>
    <xf numFmtId="0" fontId="0" fillId="15" borderId="15" xfId="0" applyFill="1" applyBorder="1" applyProtection="1"/>
    <xf numFmtId="0" fontId="0" fillId="20" borderId="26" xfId="0" applyFill="1" applyBorder="1" applyProtection="1"/>
    <xf numFmtId="0" fontId="0" fillId="20" borderId="21" xfId="0" applyFill="1" applyBorder="1" applyProtection="1"/>
    <xf numFmtId="0" fontId="0" fillId="20" borderId="29" xfId="0" applyFill="1" applyBorder="1" applyProtection="1"/>
    <xf numFmtId="0" fontId="0" fillId="20" borderId="13" xfId="0" applyFill="1" applyBorder="1" applyProtection="1"/>
    <xf numFmtId="0" fontId="0" fillId="20" borderId="0" xfId="0" applyFill="1" applyBorder="1" applyProtection="1"/>
    <xf numFmtId="0" fontId="7" fillId="15" borderId="17" xfId="0" applyFont="1" applyFill="1" applyBorder="1" applyAlignment="1" applyProtection="1">
      <alignment vertical="center"/>
    </xf>
    <xf numFmtId="14" fontId="11" fillId="8" borderId="4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0" fillId="19" borderId="0" xfId="0" applyFont="1" applyFill="1" applyBorder="1" applyAlignment="1" applyProtection="1">
      <alignment horizontal="center" vertical="top"/>
      <protection hidden="1"/>
    </xf>
    <xf numFmtId="164" fontId="11" fillId="19" borderId="0" xfId="1" applyNumberFormat="1" applyFont="1" applyFill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center" vertical="top" wrapText="1"/>
      <protection hidden="1"/>
    </xf>
    <xf numFmtId="164" fontId="11" fillId="0" borderId="0" xfId="1" applyNumberFormat="1" applyFont="1" applyFill="1" applyBorder="1" applyAlignment="1" applyProtection="1">
      <alignment horizontal="right" vertical="center"/>
      <protection hidden="1"/>
    </xf>
    <xf numFmtId="0" fontId="16" fillId="0" borderId="0" xfId="0" applyFont="1" applyBorder="1" applyAlignment="1" applyProtection="1">
      <alignment horizontal="left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164" fontId="11" fillId="0" borderId="2" xfId="1" applyNumberFormat="1" applyFont="1" applyFill="1" applyBorder="1" applyAlignment="1" applyProtection="1">
      <alignment horizontal="right" vertical="center"/>
      <protection hidden="1"/>
    </xf>
    <xf numFmtId="0" fontId="16" fillId="0" borderId="32" xfId="0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7" fillId="19" borderId="0" xfId="0" applyFont="1" applyFill="1" applyBorder="1" applyAlignment="1">
      <alignment horizontal="left" vertical="top"/>
    </xf>
    <xf numFmtId="164" fontId="21" fillId="19" borderId="0" xfId="1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alignment horizontal="left" vertical="top"/>
      <protection hidden="1"/>
    </xf>
    <xf numFmtId="0" fontId="11" fillId="0" borderId="0" xfId="0" applyFont="1" applyBorder="1" applyAlignment="1">
      <alignment horizontal="left" vertical="top"/>
    </xf>
    <xf numFmtId="0" fontId="14" fillId="0" borderId="1" xfId="0" applyFont="1" applyBorder="1" applyAlignment="1" applyProtection="1">
      <alignment horizontal="left" vertical="top"/>
      <protection hidden="1"/>
    </xf>
    <xf numFmtId="0" fontId="23" fillId="0" borderId="0" xfId="0" applyFont="1" applyBorder="1" applyAlignment="1" applyProtection="1">
      <alignment horizontal="left" vertical="top" wrapText="1"/>
      <protection hidden="1"/>
    </xf>
    <xf numFmtId="0" fontId="23" fillId="0" borderId="2" xfId="0" applyFont="1" applyBorder="1" applyAlignment="1" applyProtection="1">
      <alignment horizontal="left" vertical="top" wrapText="1"/>
      <protection hidden="1"/>
    </xf>
    <xf numFmtId="0" fontId="11" fillId="0" borderId="15" xfId="1" applyNumberFormat="1" applyFont="1" applyFill="1" applyBorder="1" applyAlignment="1" applyProtection="1">
      <alignment horizontal="center" vertical="center"/>
      <protection hidden="1"/>
    </xf>
    <xf numFmtId="0" fontId="0" fillId="22" borderId="15" xfId="0" applyFill="1" applyBorder="1"/>
    <xf numFmtId="0" fontId="16" fillId="0" borderId="41" xfId="0" applyFont="1" applyBorder="1" applyAlignment="1">
      <alignment horizontal="center" vertical="top"/>
    </xf>
    <xf numFmtId="0" fontId="16" fillId="0" borderId="42" xfId="0" applyFont="1" applyBorder="1" applyAlignment="1">
      <alignment horizontal="center" vertical="top"/>
    </xf>
    <xf numFmtId="0" fontId="11" fillId="0" borderId="24" xfId="1" applyNumberFormat="1" applyFont="1" applyFill="1" applyBorder="1" applyAlignment="1" applyProtection="1">
      <alignment horizontal="center" vertical="center"/>
      <protection hidden="1"/>
    </xf>
    <xf numFmtId="0" fontId="11" fillId="22" borderId="40" xfId="1" applyNumberFormat="1" applyFont="1" applyFill="1" applyBorder="1" applyAlignment="1" applyProtection="1">
      <alignment horizontal="center" vertical="center"/>
      <protection hidden="1"/>
    </xf>
    <xf numFmtId="165" fontId="8" fillId="22" borderId="40" xfId="1" applyNumberFormat="1" applyFont="1" applyFill="1" applyBorder="1" applyAlignment="1" applyProtection="1">
      <alignment horizontal="center" vertical="center"/>
      <protection hidden="1"/>
    </xf>
    <xf numFmtId="0" fontId="16" fillId="0" borderId="23" xfId="0" applyFont="1" applyBorder="1" applyAlignment="1">
      <alignment horizontal="center" vertical="top"/>
    </xf>
    <xf numFmtId="0" fontId="7" fillId="22" borderId="40" xfId="1" applyNumberFormat="1" applyFont="1" applyFill="1" applyBorder="1" applyAlignment="1" applyProtection="1">
      <alignment horizontal="center" vertical="center"/>
      <protection hidden="1"/>
    </xf>
    <xf numFmtId="0" fontId="5" fillId="22" borderId="40" xfId="0" applyFont="1" applyFill="1" applyBorder="1"/>
    <xf numFmtId="0" fontId="0" fillId="5" borderId="0" xfId="0" applyFill="1"/>
    <xf numFmtId="0" fontId="5" fillId="5" borderId="40" xfId="0" applyFont="1" applyFill="1" applyBorder="1"/>
    <xf numFmtId="0" fontId="2" fillId="4" borderId="0" xfId="0" applyFont="1" applyFill="1" applyBorder="1" applyAlignment="1" applyProtection="1">
      <alignment horizontal="left" vertical="top"/>
    </xf>
    <xf numFmtId="165" fontId="11" fillId="0" borderId="0" xfId="1" applyNumberFormat="1" applyFont="1" applyFill="1" applyBorder="1" applyAlignment="1" applyProtection="1">
      <alignment vertical="center"/>
      <protection hidden="1"/>
    </xf>
    <xf numFmtId="165" fontId="11" fillId="23" borderId="44" xfId="1" applyNumberFormat="1" applyFont="1" applyFill="1" applyBorder="1" applyAlignment="1" applyProtection="1">
      <alignment vertical="center"/>
      <protection hidden="1"/>
    </xf>
    <xf numFmtId="0" fontId="7" fillId="5" borderId="45" xfId="0" applyFont="1" applyFill="1" applyBorder="1" applyAlignment="1" applyProtection="1">
      <alignment vertical="top"/>
      <protection hidden="1"/>
    </xf>
    <xf numFmtId="0" fontId="7" fillId="5" borderId="0" xfId="0" applyFont="1" applyFill="1" applyBorder="1" applyAlignment="1" applyProtection="1">
      <alignment vertical="top"/>
      <protection hidden="1"/>
    </xf>
    <xf numFmtId="0" fontId="2" fillId="19" borderId="40" xfId="0" applyFont="1" applyFill="1" applyBorder="1" applyAlignment="1" applyProtection="1">
      <alignment vertical="center"/>
      <protection hidden="1"/>
    </xf>
    <xf numFmtId="165" fontId="5" fillId="5" borderId="40" xfId="0" applyNumberFormat="1" applyFont="1" applyFill="1" applyBorder="1"/>
    <xf numFmtId="0" fontId="9" fillId="0" borderId="60" xfId="0" applyFont="1" applyBorder="1" applyProtection="1">
      <protection hidden="1"/>
    </xf>
    <xf numFmtId="0" fontId="8" fillId="0" borderId="61" xfId="0" applyFont="1" applyBorder="1" applyAlignment="1" applyProtection="1">
      <alignment horizontal="center"/>
      <protection hidden="1"/>
    </xf>
    <xf numFmtId="0" fontId="9" fillId="0" borderId="63" xfId="0" applyFont="1" applyBorder="1" applyAlignment="1" applyProtection="1">
      <alignment horizontal="center" vertical="center" wrapText="1"/>
      <protection hidden="1"/>
    </xf>
    <xf numFmtId="0" fontId="9" fillId="7" borderId="64" xfId="0" applyFont="1" applyFill="1" applyBorder="1" applyAlignment="1" applyProtection="1">
      <alignment horizontal="center" vertical="center"/>
      <protection hidden="1"/>
    </xf>
    <xf numFmtId="0" fontId="9" fillId="0" borderId="54" xfId="0" applyFont="1" applyBorder="1" applyAlignment="1" applyProtection="1">
      <alignment horizontal="center" vertical="center" wrapText="1"/>
      <protection hidden="1"/>
    </xf>
    <xf numFmtId="0" fontId="9" fillId="7" borderId="65" xfId="0" applyFont="1" applyFill="1" applyBorder="1" applyAlignment="1" applyProtection="1">
      <alignment horizontal="center" vertical="center"/>
      <protection hidden="1"/>
    </xf>
    <xf numFmtId="0" fontId="8" fillId="0" borderId="56" xfId="0" applyFont="1" applyBorder="1" applyAlignment="1" applyProtection="1">
      <alignment horizontal="center" vertical="center" wrapText="1"/>
      <protection hidden="1"/>
    </xf>
    <xf numFmtId="0" fontId="14" fillId="10" borderId="67" xfId="0" applyFont="1" applyFill="1" applyBorder="1" applyAlignment="1" applyProtection="1">
      <alignment horizontal="center" vertical="center"/>
      <protection hidden="1"/>
    </xf>
    <xf numFmtId="0" fontId="8" fillId="0" borderId="48" xfId="0" applyFont="1" applyBorder="1" applyAlignment="1" applyProtection="1">
      <alignment horizontal="center" vertical="center" wrapText="1"/>
      <protection hidden="1"/>
    </xf>
    <xf numFmtId="0" fontId="9" fillId="7" borderId="69" xfId="0" applyFont="1" applyFill="1" applyBorder="1" applyAlignment="1" applyProtection="1">
      <alignment horizontal="center" vertical="center"/>
      <protection hidden="1"/>
    </xf>
    <xf numFmtId="0" fontId="9" fillId="7" borderId="70" xfId="0" applyFont="1" applyFill="1" applyBorder="1" applyAlignment="1" applyProtection="1">
      <alignment horizontal="center" vertical="center"/>
      <protection hidden="1"/>
    </xf>
    <xf numFmtId="0" fontId="14" fillId="0" borderId="69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8" fillId="0" borderId="47" xfId="0" applyFont="1" applyBorder="1" applyAlignment="1" applyProtection="1">
      <alignment horizontal="left" vertical="center"/>
    </xf>
    <xf numFmtId="0" fontId="9" fillId="0" borderId="51" xfId="0" applyFont="1" applyBorder="1" applyAlignment="1" applyProtection="1">
      <alignment horizontal="left" vertical="center"/>
    </xf>
    <xf numFmtId="0" fontId="9" fillId="0" borderId="77" xfId="0" applyFont="1" applyBorder="1" applyAlignment="1" applyProtection="1">
      <alignment horizontal="left" vertical="center"/>
    </xf>
    <xf numFmtId="0" fontId="9" fillId="0" borderId="78" xfId="0" applyFont="1" applyBorder="1" applyAlignment="1" applyProtection="1">
      <alignment horizontal="left" vertical="center"/>
    </xf>
    <xf numFmtId="0" fontId="9" fillId="0" borderId="79" xfId="0" applyFont="1" applyBorder="1" applyAlignment="1" applyProtection="1">
      <alignment horizontal="left" vertical="center"/>
    </xf>
    <xf numFmtId="0" fontId="9" fillId="0" borderId="79" xfId="0" applyFont="1" applyBorder="1" applyAlignment="1" applyProtection="1">
      <alignment vertical="center"/>
    </xf>
    <xf numFmtId="0" fontId="25" fillId="25" borderId="102" xfId="0" applyFont="1" applyFill="1" applyBorder="1" applyAlignment="1" applyProtection="1">
      <alignment horizontal="center" vertical="center"/>
    </xf>
    <xf numFmtId="0" fontId="9" fillId="0" borderId="55" xfId="0" applyFont="1" applyBorder="1" applyAlignment="1" applyProtection="1">
      <alignment horizontal="left" vertical="center" wrapText="1"/>
    </xf>
    <xf numFmtId="0" fontId="9" fillId="0" borderId="0" xfId="0" applyFont="1" applyProtection="1"/>
    <xf numFmtId="0" fontId="9" fillId="0" borderId="59" xfId="0" applyFont="1" applyBorder="1" applyProtection="1"/>
    <xf numFmtId="0" fontId="9" fillId="0" borderId="60" xfId="0" applyFont="1" applyBorder="1" applyProtection="1"/>
    <xf numFmtId="0" fontId="8" fillId="0" borderId="0" xfId="0" applyFont="1" applyProtection="1"/>
    <xf numFmtId="0" fontId="8" fillId="0" borderId="71" xfId="0" applyFont="1" applyBorder="1" applyAlignment="1" applyProtection="1">
      <alignment vertical="center"/>
    </xf>
    <xf numFmtId="0" fontId="8" fillId="0" borderId="73" xfId="0" applyFont="1" applyBorder="1" applyProtection="1"/>
    <xf numFmtId="0" fontId="31" fillId="27" borderId="57" xfId="0" applyFont="1" applyFill="1" applyBorder="1" applyAlignment="1" applyProtection="1">
      <alignment horizontal="left" vertical="center" wrapText="1"/>
    </xf>
    <xf numFmtId="0" fontId="7" fillId="5" borderId="0" xfId="1" applyNumberFormat="1" applyFont="1" applyFill="1" applyBorder="1" applyAlignment="1" applyProtection="1">
      <alignment horizontal="right" vertical="center"/>
      <protection hidden="1"/>
    </xf>
    <xf numFmtId="14" fontId="0" fillId="0" borderId="0" xfId="0" applyNumberFormat="1"/>
    <xf numFmtId="0" fontId="22" fillId="24" borderId="2" xfId="1" applyNumberFormat="1" applyFont="1" applyFill="1" applyBorder="1" applyAlignment="1" applyProtection="1">
      <alignment horizontal="right" vertical="center"/>
      <protection hidden="1"/>
    </xf>
    <xf numFmtId="167" fontId="18" fillId="8" borderId="24" xfId="0" applyNumberFormat="1" applyFont="1" applyFill="1" applyBorder="1" applyAlignment="1" applyProtection="1">
      <alignment horizontal="right" vertical="center" wrapText="1"/>
      <protection locked="0"/>
    </xf>
    <xf numFmtId="167" fontId="18" fillId="8" borderId="15" xfId="0" applyNumberFormat="1" applyFont="1" applyFill="1" applyBorder="1" applyAlignment="1" applyProtection="1">
      <alignment horizontal="right" vertical="top" wrapText="1"/>
      <protection locked="0"/>
    </xf>
    <xf numFmtId="167" fontId="18" fillId="8" borderId="18" xfId="0" applyNumberFormat="1" applyFont="1" applyFill="1" applyBorder="1" applyAlignment="1" applyProtection="1">
      <alignment horizontal="right" vertical="top" wrapText="1"/>
      <protection locked="0"/>
    </xf>
    <xf numFmtId="167" fontId="18" fillId="8" borderId="22" xfId="0" applyNumberFormat="1" applyFont="1" applyFill="1" applyBorder="1" applyAlignment="1" applyProtection="1">
      <alignment horizontal="right" vertical="top" wrapText="1"/>
      <protection locked="0"/>
    </xf>
    <xf numFmtId="167" fontId="18" fillId="8" borderId="23" xfId="0" applyNumberFormat="1" applyFont="1" applyFill="1" applyBorder="1" applyAlignment="1" applyProtection="1">
      <alignment horizontal="right" vertical="top" wrapText="1"/>
      <protection locked="0"/>
    </xf>
    <xf numFmtId="167" fontId="18" fillId="8" borderId="15" xfId="0" applyNumberFormat="1" applyFont="1" applyFill="1" applyBorder="1" applyAlignment="1" applyProtection="1">
      <alignment horizontal="right" vertical="center" wrapText="1"/>
      <protection locked="0"/>
    </xf>
    <xf numFmtId="0" fontId="16" fillId="8" borderId="3" xfId="0" applyFont="1" applyFill="1" applyBorder="1" applyAlignment="1" applyProtection="1">
      <alignment horizontal="left" vertical="top"/>
      <protection locked="0"/>
    </xf>
    <xf numFmtId="0" fontId="16" fillId="8" borderId="10" xfId="0" applyFont="1" applyFill="1" applyBorder="1" applyAlignment="1" applyProtection="1">
      <alignment horizontal="left" vertical="top"/>
      <protection locked="0"/>
    </xf>
    <xf numFmtId="0" fontId="16" fillId="8" borderId="2" xfId="0" applyFont="1" applyFill="1" applyBorder="1" applyAlignment="1" applyProtection="1">
      <alignment horizontal="left" vertical="top"/>
      <protection locked="0"/>
    </xf>
    <xf numFmtId="0" fontId="11" fillId="8" borderId="24" xfId="0" applyFont="1" applyFill="1" applyBorder="1" applyAlignment="1" applyProtection="1">
      <alignment horizontal="center" vertical="center"/>
      <protection locked="0"/>
    </xf>
    <xf numFmtId="0" fontId="11" fillId="8" borderId="15" xfId="0" applyFont="1" applyFill="1" applyBorder="1" applyAlignment="1" applyProtection="1">
      <alignment horizontal="center" vertical="center"/>
      <protection locked="0"/>
    </xf>
    <xf numFmtId="0" fontId="11" fillId="8" borderId="23" xfId="0" applyFont="1" applyFill="1" applyBorder="1" applyAlignment="1" applyProtection="1">
      <alignment horizontal="center" vertical="center"/>
      <protection locked="0"/>
    </xf>
    <xf numFmtId="14" fontId="9" fillId="8" borderId="104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wrapText="1"/>
      <protection hidden="1"/>
    </xf>
    <xf numFmtId="0" fontId="9" fillId="0" borderId="46" xfId="0" applyFont="1" applyBorder="1" applyAlignment="1" applyProtection="1">
      <alignment horizontal="center" wrapText="1"/>
    </xf>
    <xf numFmtId="0" fontId="14" fillId="8" borderId="48" xfId="0" applyFont="1" applyFill="1" applyBorder="1" applyAlignment="1" applyProtection="1">
      <alignment horizontal="center" vertical="center"/>
      <protection locked="0"/>
    </xf>
    <xf numFmtId="0" fontId="14" fillId="8" borderId="49" xfId="0" applyFont="1" applyFill="1" applyBorder="1" applyAlignment="1" applyProtection="1">
      <alignment horizontal="center" vertical="center"/>
      <protection locked="0"/>
    </xf>
    <xf numFmtId="0" fontId="14" fillId="8" borderId="50" xfId="0" applyFont="1" applyFill="1" applyBorder="1" applyAlignment="1" applyProtection="1">
      <alignment horizontal="center" vertical="center"/>
      <protection locked="0"/>
    </xf>
    <xf numFmtId="0" fontId="8" fillId="8" borderId="82" xfId="0" applyFont="1" applyFill="1" applyBorder="1" applyAlignment="1" applyProtection="1">
      <alignment horizontal="center" vertical="center"/>
      <protection locked="0"/>
    </xf>
    <xf numFmtId="0" fontId="8" fillId="8" borderId="83" xfId="0" applyFont="1" applyFill="1" applyBorder="1" applyAlignment="1" applyProtection="1">
      <alignment horizontal="center" vertical="center"/>
      <protection locked="0"/>
    </xf>
    <xf numFmtId="0" fontId="8" fillId="8" borderId="84" xfId="0" applyFont="1" applyFill="1" applyBorder="1" applyAlignment="1" applyProtection="1">
      <alignment horizontal="center" vertical="center"/>
      <protection locked="0"/>
    </xf>
    <xf numFmtId="0" fontId="30" fillId="26" borderId="82" xfId="0" applyFont="1" applyFill="1" applyBorder="1" applyAlignment="1" applyProtection="1">
      <alignment horizontal="center" vertical="center"/>
      <protection hidden="1"/>
    </xf>
    <xf numFmtId="0" fontId="30" fillId="26" borderId="83" xfId="0" applyFont="1" applyFill="1" applyBorder="1" applyAlignment="1" applyProtection="1">
      <alignment horizontal="center" vertical="center"/>
      <protection hidden="1"/>
    </xf>
    <xf numFmtId="166" fontId="9" fillId="8" borderId="94" xfId="0" applyNumberFormat="1" applyFont="1" applyFill="1" applyBorder="1" applyAlignment="1" applyProtection="1">
      <alignment horizontal="center" vertical="center"/>
      <protection locked="0"/>
    </xf>
    <xf numFmtId="166" fontId="9" fillId="8" borderId="95" xfId="0" applyNumberFormat="1" applyFont="1" applyFill="1" applyBorder="1" applyAlignment="1" applyProtection="1">
      <alignment horizontal="center" vertical="center"/>
      <protection locked="0"/>
    </xf>
    <xf numFmtId="166" fontId="9" fillId="8" borderId="96" xfId="0" applyNumberFormat="1" applyFont="1" applyFill="1" applyBorder="1" applyAlignment="1" applyProtection="1">
      <alignment horizontal="center" vertical="center"/>
      <protection locked="0"/>
    </xf>
    <xf numFmtId="0" fontId="9" fillId="8" borderId="94" xfId="0" applyFont="1" applyFill="1" applyBorder="1" applyAlignment="1" applyProtection="1">
      <alignment horizontal="center" vertical="center"/>
      <protection locked="0"/>
    </xf>
    <xf numFmtId="0" fontId="9" fillId="8" borderId="95" xfId="0" applyFont="1" applyFill="1" applyBorder="1" applyAlignment="1" applyProtection="1">
      <alignment horizontal="center" vertical="center"/>
      <protection locked="0"/>
    </xf>
    <xf numFmtId="0" fontId="9" fillId="8" borderId="96" xfId="0" applyFont="1" applyFill="1" applyBorder="1" applyAlignment="1" applyProtection="1">
      <alignment horizontal="center" vertical="center"/>
      <protection locked="0"/>
    </xf>
    <xf numFmtId="0" fontId="8" fillId="8" borderId="86" xfId="0" applyFont="1" applyFill="1" applyBorder="1" applyAlignment="1" applyProtection="1">
      <alignment horizontal="center" vertical="center"/>
      <protection locked="0"/>
    </xf>
    <xf numFmtId="0" fontId="8" fillId="8" borderId="87" xfId="0" applyFont="1" applyFill="1" applyBorder="1" applyAlignment="1" applyProtection="1">
      <alignment horizontal="center" vertical="center"/>
      <protection locked="0"/>
    </xf>
    <xf numFmtId="0" fontId="8" fillId="8" borderId="88" xfId="0" applyFont="1" applyFill="1" applyBorder="1" applyAlignment="1" applyProtection="1">
      <alignment horizontal="center" vertical="center"/>
      <protection locked="0"/>
    </xf>
    <xf numFmtId="0" fontId="8" fillId="8" borderId="89" xfId="0" applyFont="1" applyFill="1" applyBorder="1" applyAlignment="1" applyProtection="1">
      <alignment horizontal="center" vertical="center"/>
      <protection locked="0"/>
    </xf>
    <xf numFmtId="0" fontId="8" fillId="8" borderId="52" xfId="0" applyFont="1" applyFill="1" applyBorder="1" applyAlignment="1" applyProtection="1">
      <alignment horizontal="center" vertical="center"/>
      <protection locked="0"/>
    </xf>
    <xf numFmtId="0" fontId="8" fillId="8" borderId="90" xfId="0" applyFont="1" applyFill="1" applyBorder="1" applyAlignment="1" applyProtection="1">
      <alignment horizontal="center" vertical="center"/>
      <protection locked="0"/>
    </xf>
    <xf numFmtId="0" fontId="9" fillId="8" borderId="91" xfId="0" applyFont="1" applyFill="1" applyBorder="1" applyAlignment="1" applyProtection="1">
      <alignment horizontal="center" vertical="center"/>
      <protection locked="0"/>
    </xf>
    <xf numFmtId="0" fontId="9" fillId="8" borderId="92" xfId="0" applyFont="1" applyFill="1" applyBorder="1" applyAlignment="1" applyProtection="1">
      <alignment horizontal="center" vertical="center"/>
      <protection locked="0"/>
    </xf>
    <xf numFmtId="0" fontId="9" fillId="8" borderId="93" xfId="0" applyFont="1" applyFill="1" applyBorder="1" applyAlignment="1" applyProtection="1">
      <alignment horizontal="center" vertical="center"/>
      <protection locked="0"/>
    </xf>
    <xf numFmtId="0" fontId="9" fillId="8" borderId="97" xfId="0" applyFont="1" applyFill="1" applyBorder="1" applyAlignment="1" applyProtection="1">
      <alignment horizontal="center" vertical="center"/>
      <protection locked="0"/>
    </xf>
    <xf numFmtId="0" fontId="9" fillId="8" borderId="76" xfId="0" applyFont="1" applyFill="1" applyBorder="1" applyAlignment="1" applyProtection="1">
      <alignment horizontal="center" vertical="center"/>
      <protection locked="0"/>
    </xf>
    <xf numFmtId="0" fontId="9" fillId="8" borderId="98" xfId="0" applyFont="1" applyFill="1" applyBorder="1" applyAlignment="1" applyProtection="1">
      <alignment horizontal="center" vertical="center"/>
      <protection locked="0"/>
    </xf>
    <xf numFmtId="0" fontId="9" fillId="8" borderId="99" xfId="0" applyFont="1" applyFill="1" applyBorder="1" applyAlignment="1" applyProtection="1">
      <alignment horizontal="center" vertical="center"/>
      <protection locked="0"/>
    </xf>
    <xf numFmtId="0" fontId="9" fillId="8" borderId="100" xfId="0" applyFont="1" applyFill="1" applyBorder="1" applyAlignment="1" applyProtection="1">
      <alignment horizontal="center" vertical="center"/>
      <protection locked="0"/>
    </xf>
    <xf numFmtId="0" fontId="9" fillId="8" borderId="101" xfId="0" applyFont="1" applyFill="1" applyBorder="1" applyAlignment="1" applyProtection="1">
      <alignment horizontal="center" vertical="center"/>
      <protection locked="0"/>
    </xf>
    <xf numFmtId="0" fontId="9" fillId="0" borderId="80" xfId="0" applyFont="1" applyBorder="1" applyAlignment="1" applyProtection="1">
      <alignment horizontal="left" vertical="center" wrapText="1"/>
    </xf>
    <xf numFmtId="0" fontId="9" fillId="0" borderId="81" xfId="0" applyFont="1" applyBorder="1" applyAlignment="1" applyProtection="1">
      <alignment horizontal="left" vertical="center" wrapText="1"/>
    </xf>
    <xf numFmtId="0" fontId="25" fillId="25" borderId="103" xfId="0" applyFont="1" applyFill="1" applyBorder="1" applyAlignment="1" applyProtection="1">
      <alignment horizontal="center" vertical="center"/>
    </xf>
    <xf numFmtId="0" fontId="25" fillId="25" borderId="101" xfId="0" applyFont="1" applyFill="1" applyBorder="1" applyAlignment="1" applyProtection="1">
      <alignment horizontal="center" vertical="center"/>
    </xf>
    <xf numFmtId="14" fontId="9" fillId="8" borderId="105" xfId="0" applyNumberFormat="1" applyFont="1" applyFill="1" applyBorder="1" applyAlignment="1" applyProtection="1">
      <alignment horizontal="center" vertical="center"/>
      <protection locked="0"/>
    </xf>
    <xf numFmtId="0" fontId="9" fillId="8" borderId="106" xfId="0" applyFont="1" applyFill="1" applyBorder="1" applyAlignment="1" applyProtection="1">
      <alignment horizontal="center" vertical="center"/>
      <protection locked="0"/>
    </xf>
    <xf numFmtId="0" fontId="9" fillId="25" borderId="85" xfId="0" applyFont="1" applyFill="1" applyBorder="1" applyAlignment="1" applyProtection="1">
      <alignment horizontal="center" vertical="center" wrapText="1"/>
      <protection hidden="1"/>
    </xf>
    <xf numFmtId="0" fontId="9" fillId="25" borderId="46" xfId="0" applyFont="1" applyFill="1" applyBorder="1" applyAlignment="1" applyProtection="1">
      <alignment horizontal="center" vertical="center" wrapText="1"/>
      <protection hidden="1"/>
    </xf>
    <xf numFmtId="0" fontId="9" fillId="25" borderId="74" xfId="0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Border="1" applyAlignment="1" applyProtection="1">
      <alignment horizontal="center" vertical="center"/>
    </xf>
    <xf numFmtId="0" fontId="8" fillId="0" borderId="31" xfId="0" applyFont="1" applyBorder="1" applyAlignment="1" applyProtection="1">
      <alignment horizontal="center" vertical="center"/>
    </xf>
    <xf numFmtId="0" fontId="8" fillId="0" borderId="58" xfId="0" applyFont="1" applyBorder="1" applyAlignment="1" applyProtection="1">
      <alignment horizontal="center" vertical="center"/>
    </xf>
    <xf numFmtId="0" fontId="9" fillId="0" borderId="62" xfId="0" applyFont="1" applyBorder="1" applyAlignment="1" applyProtection="1">
      <alignment vertical="center" wrapText="1"/>
    </xf>
    <xf numFmtId="0" fontId="9" fillId="0" borderId="53" xfId="0" applyFont="1" applyBorder="1" applyAlignment="1" applyProtection="1">
      <alignment vertical="center" wrapText="1"/>
    </xf>
    <xf numFmtId="0" fontId="9" fillId="0" borderId="72" xfId="0" applyFont="1" applyBorder="1" applyAlignment="1" applyProtection="1">
      <alignment horizontal="center" vertical="center"/>
    </xf>
    <xf numFmtId="0" fontId="9" fillId="0" borderId="74" xfId="0" applyFont="1" applyBorder="1" applyAlignment="1" applyProtection="1">
      <alignment horizontal="center" vertical="center"/>
    </xf>
    <xf numFmtId="0" fontId="8" fillId="28" borderId="75" xfId="0" applyFont="1" applyFill="1" applyBorder="1" applyAlignment="1" applyProtection="1">
      <alignment horizontal="center" vertical="center" wrapText="1"/>
    </xf>
    <xf numFmtId="0" fontId="8" fillId="28" borderId="31" xfId="0" applyFont="1" applyFill="1" applyBorder="1" applyAlignment="1" applyProtection="1">
      <alignment horizontal="center" vertical="center" wrapText="1"/>
    </xf>
    <xf numFmtId="0" fontId="8" fillId="28" borderId="58" xfId="0" applyFont="1" applyFill="1" applyBorder="1" applyAlignment="1" applyProtection="1">
      <alignment horizontal="center" vertical="center" wrapText="1"/>
    </xf>
    <xf numFmtId="0" fontId="8" fillId="0" borderId="66" xfId="0" applyFont="1" applyBorder="1" applyAlignment="1" applyProtection="1">
      <alignment vertical="center" wrapText="1"/>
    </xf>
    <xf numFmtId="0" fontId="8" fillId="0" borderId="68" xfId="0" applyFont="1" applyBorder="1" applyAlignment="1" applyProtection="1">
      <alignment vertical="center" wrapText="1"/>
    </xf>
    <xf numFmtId="0" fontId="29" fillId="0" borderId="68" xfId="0" applyFont="1" applyBorder="1" applyAlignment="1" applyProtection="1">
      <alignment vertical="center"/>
    </xf>
    <xf numFmtId="165" fontId="19" fillId="15" borderId="12" xfId="0" applyNumberFormat="1" applyFont="1" applyFill="1" applyBorder="1" applyAlignment="1" applyProtection="1">
      <alignment horizontal="left" vertical="center" wrapText="1"/>
      <protection hidden="1"/>
    </xf>
    <xf numFmtId="165" fontId="19" fillId="15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19" borderId="30" xfId="0" applyFont="1" applyFill="1" applyBorder="1" applyAlignment="1" applyProtection="1">
      <alignment horizontal="left" vertical="center"/>
      <protection hidden="1"/>
    </xf>
    <xf numFmtId="0" fontId="2" fillId="19" borderId="31" xfId="0" applyFont="1" applyFill="1" applyBorder="1" applyAlignment="1" applyProtection="1">
      <alignment horizontal="left" vertical="center"/>
      <protection hidden="1"/>
    </xf>
    <xf numFmtId="0" fontId="9" fillId="17" borderId="3" xfId="0" applyFont="1" applyFill="1" applyBorder="1" applyAlignment="1" applyProtection="1">
      <alignment horizontal="left" vertical="top" wrapText="1"/>
      <protection hidden="1"/>
    </xf>
    <xf numFmtId="0" fontId="9" fillId="17" borderId="2" xfId="0" applyFont="1" applyFill="1" applyBorder="1" applyAlignment="1" applyProtection="1">
      <alignment horizontal="left" vertical="top" wrapText="1"/>
      <protection hidden="1"/>
    </xf>
    <xf numFmtId="0" fontId="8" fillId="17" borderId="3" xfId="0" applyFont="1" applyFill="1" applyBorder="1" applyAlignment="1" applyProtection="1">
      <alignment horizontal="left" vertical="top"/>
      <protection hidden="1"/>
    </xf>
    <xf numFmtId="0" fontId="3" fillId="2" borderId="15" xfId="0" applyFont="1" applyFill="1" applyBorder="1" applyAlignment="1" applyProtection="1">
      <alignment horizontal="center"/>
    </xf>
    <xf numFmtId="0" fontId="6" fillId="2" borderId="15" xfId="0" applyFont="1" applyFill="1" applyBorder="1" applyAlignment="1" applyProtection="1">
      <alignment horizontal="center" vertical="center"/>
    </xf>
    <xf numFmtId="0" fontId="8" fillId="17" borderId="2" xfId="0" applyFont="1" applyFill="1" applyBorder="1" applyAlignment="1" applyProtection="1">
      <alignment horizontal="left" vertical="top"/>
      <protection hidden="1"/>
    </xf>
    <xf numFmtId="0" fontId="8" fillId="17" borderId="0" xfId="0" applyFont="1" applyFill="1" applyBorder="1" applyAlignment="1" applyProtection="1">
      <alignment horizontal="left" vertical="top"/>
      <protection hidden="1"/>
    </xf>
    <xf numFmtId="0" fontId="9" fillId="17" borderId="12" xfId="0" applyFont="1" applyFill="1" applyBorder="1" applyAlignment="1" applyProtection="1">
      <alignment horizontal="left" vertical="top" wrapText="1"/>
      <protection hidden="1"/>
    </xf>
    <xf numFmtId="0" fontId="9" fillId="17" borderId="20" xfId="0" applyFont="1" applyFill="1" applyBorder="1" applyAlignment="1" applyProtection="1">
      <alignment horizontal="left" vertical="top" wrapText="1"/>
      <protection hidden="1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left" vertical="top" wrapText="1"/>
      <protection hidden="1"/>
    </xf>
    <xf numFmtId="0" fontId="9" fillId="18" borderId="3" xfId="0" applyFont="1" applyFill="1" applyBorder="1" applyAlignment="1" applyProtection="1">
      <alignment horizontal="left" vertical="top" wrapText="1"/>
      <protection hidden="1"/>
    </xf>
    <xf numFmtId="0" fontId="9" fillId="10" borderId="3" xfId="0" applyFont="1" applyFill="1" applyBorder="1" applyAlignment="1" applyProtection="1">
      <alignment horizontal="left" vertical="top" wrapText="1"/>
      <protection hidden="1"/>
    </xf>
    <xf numFmtId="0" fontId="9" fillId="0" borderId="3" xfId="0" applyFont="1" applyFill="1" applyBorder="1" applyAlignment="1" applyProtection="1">
      <alignment horizontal="left" vertical="top" wrapText="1"/>
      <protection hidden="1"/>
    </xf>
    <xf numFmtId="0" fontId="9" fillId="11" borderId="3" xfId="0" applyFont="1" applyFill="1" applyBorder="1" applyAlignment="1" applyProtection="1">
      <alignment horizontal="left" vertical="top" wrapText="1"/>
      <protection hidden="1"/>
    </xf>
    <xf numFmtId="0" fontId="7" fillId="11" borderId="0" xfId="0" applyFont="1" applyFill="1" applyBorder="1" applyAlignment="1" applyProtection="1">
      <alignment horizontal="left" vertical="center"/>
      <protection hidden="1"/>
    </xf>
    <xf numFmtId="0" fontId="9" fillId="0" borderId="3" xfId="0" applyFont="1" applyFill="1" applyBorder="1" applyAlignment="1" applyProtection="1">
      <alignment horizontal="left" vertical="center" wrapText="1"/>
      <protection hidden="1"/>
    </xf>
    <xf numFmtId="0" fontId="9" fillId="11" borderId="3" xfId="0" applyFont="1" applyFill="1" applyBorder="1" applyAlignment="1" applyProtection="1">
      <alignment horizontal="left" vertical="center"/>
      <protection hidden="1"/>
    </xf>
    <xf numFmtId="0" fontId="11" fillId="11" borderId="3" xfId="0" applyFont="1" applyFill="1" applyBorder="1" applyAlignment="1" applyProtection="1">
      <alignment horizontal="left" vertical="center" wrapText="1"/>
      <protection hidden="1"/>
    </xf>
    <xf numFmtId="0" fontId="10" fillId="0" borderId="3" xfId="0" applyFont="1" applyFill="1" applyBorder="1" applyAlignment="1" applyProtection="1">
      <alignment horizontal="center" vertical="center" wrapText="1"/>
      <protection hidden="1"/>
    </xf>
    <xf numFmtId="0" fontId="10" fillId="0" borderId="6" xfId="0" applyFont="1" applyFill="1" applyBorder="1" applyAlignment="1" applyProtection="1">
      <alignment horizontal="center" vertical="center" wrapText="1"/>
      <protection hidden="1"/>
    </xf>
    <xf numFmtId="0" fontId="11" fillId="8" borderId="3" xfId="0" applyFont="1" applyFill="1" applyBorder="1" applyAlignment="1" applyProtection="1">
      <alignment horizontal="left" vertical="center" wrapText="1"/>
      <protection locked="0"/>
    </xf>
    <xf numFmtId="0" fontId="11" fillId="8" borderId="6" xfId="0" applyFont="1" applyFill="1" applyBorder="1" applyAlignment="1" applyProtection="1">
      <alignment horizontal="center" vertical="center" wrapText="1"/>
      <protection locked="0"/>
    </xf>
    <xf numFmtId="0" fontId="9" fillId="13" borderId="3" xfId="0" applyFont="1" applyFill="1" applyBorder="1" applyAlignment="1" applyProtection="1">
      <alignment horizontal="left" vertical="center" wrapText="1"/>
      <protection hidden="1"/>
    </xf>
    <xf numFmtId="0" fontId="9" fillId="11" borderId="3" xfId="0" applyFont="1" applyFill="1" applyBorder="1" applyAlignment="1" applyProtection="1">
      <alignment horizontal="left" vertical="center" wrapText="1"/>
      <protection hidden="1"/>
    </xf>
    <xf numFmtId="0" fontId="9" fillId="15" borderId="3" xfId="0" applyFont="1" applyFill="1" applyBorder="1" applyAlignment="1" applyProtection="1">
      <alignment horizontal="left" vertical="center" wrapText="1"/>
      <protection hidden="1"/>
    </xf>
    <xf numFmtId="165" fontId="7" fillId="13" borderId="15" xfId="0" applyNumberFormat="1" applyFont="1" applyFill="1" applyBorder="1" applyAlignment="1" applyProtection="1">
      <alignment horizontal="left" vertical="center"/>
      <protection hidden="1"/>
    </xf>
    <xf numFmtId="0" fontId="9" fillId="11" borderId="10" xfId="0" applyFont="1" applyFill="1" applyBorder="1" applyAlignment="1" applyProtection="1">
      <alignment horizontal="left" vertical="center" wrapText="1"/>
      <protection hidden="1"/>
    </xf>
    <xf numFmtId="0" fontId="7" fillId="13" borderId="0" xfId="0" applyFont="1" applyFill="1" applyBorder="1" applyAlignment="1" applyProtection="1">
      <alignment horizontal="left" vertical="top"/>
      <protection hidden="1"/>
    </xf>
    <xf numFmtId="1" fontId="18" fillId="8" borderId="29" xfId="0" applyNumberFormat="1" applyFont="1" applyFill="1" applyBorder="1" applyAlignment="1" applyProtection="1">
      <alignment horizontal="center" vertical="center" wrapText="1"/>
      <protection locked="0"/>
    </xf>
    <xf numFmtId="1" fontId="18" fillId="8" borderId="25" xfId="0" applyNumberFormat="1" applyFont="1" applyFill="1" applyBorder="1" applyAlignment="1" applyProtection="1">
      <alignment horizontal="center" vertical="center" wrapText="1"/>
      <protection locked="0"/>
    </xf>
    <xf numFmtId="0" fontId="20" fillId="21" borderId="0" xfId="0" applyFont="1" applyFill="1" applyAlignment="1">
      <alignment horizontal="left" wrapText="1"/>
    </xf>
    <xf numFmtId="0" fontId="9" fillId="17" borderId="19" xfId="0" applyFont="1" applyFill="1" applyBorder="1" applyAlignment="1" applyProtection="1">
      <alignment horizontal="left" vertical="top" wrapText="1"/>
      <protection hidden="1"/>
    </xf>
    <xf numFmtId="165" fontId="7" fillId="17" borderId="13" xfId="0" applyNumberFormat="1" applyFont="1" applyFill="1" applyBorder="1" applyAlignment="1" applyProtection="1">
      <alignment horizontal="left" vertical="center"/>
      <protection hidden="1"/>
    </xf>
    <xf numFmtId="165" fontId="7" fillId="17" borderId="25" xfId="0" applyNumberFormat="1" applyFont="1" applyFill="1" applyBorder="1" applyAlignment="1" applyProtection="1">
      <alignment horizontal="left" vertical="center"/>
      <protection hidden="1"/>
    </xf>
    <xf numFmtId="165" fontId="7" fillId="11" borderId="15" xfId="0" applyNumberFormat="1" applyFont="1" applyFill="1" applyBorder="1" applyAlignment="1" applyProtection="1">
      <alignment horizontal="left" vertical="center"/>
      <protection hidden="1"/>
    </xf>
    <xf numFmtId="0" fontId="9" fillId="20" borderId="3" xfId="0" applyFont="1" applyFill="1" applyBorder="1" applyAlignment="1" applyProtection="1">
      <alignment horizontal="left" vertical="center" wrapText="1"/>
      <protection hidden="1"/>
    </xf>
    <xf numFmtId="0" fontId="9" fillId="0" borderId="1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33" xfId="0" applyFont="1" applyBorder="1" applyAlignment="1" applyProtection="1">
      <alignment horizontal="center" vertical="center" wrapText="1"/>
      <protection hidden="1"/>
    </xf>
    <xf numFmtId="0" fontId="10" fillId="0" borderId="36" xfId="0" applyFont="1" applyBorder="1" applyAlignment="1" applyProtection="1">
      <alignment horizontal="center" vertical="center" wrapText="1"/>
      <protection hidden="1"/>
    </xf>
    <xf numFmtId="0" fontId="10" fillId="0" borderId="37" xfId="0" applyFont="1" applyBorder="1" applyAlignment="1" applyProtection="1">
      <alignment horizontal="center" vertical="center" wrapText="1"/>
      <protection hidden="1"/>
    </xf>
    <xf numFmtId="0" fontId="10" fillId="0" borderId="38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9" xfId="0" applyFont="1" applyBorder="1" applyAlignment="1" applyProtection="1">
      <alignment horizontal="center" vertical="center"/>
      <protection hidden="1"/>
    </xf>
    <xf numFmtId="0" fontId="8" fillId="22" borderId="32" xfId="0" applyFont="1" applyFill="1" applyBorder="1" applyAlignment="1">
      <alignment horizontal="center" vertical="center" wrapText="1"/>
    </xf>
    <xf numFmtId="0" fontId="8" fillId="22" borderId="41" xfId="0" applyFont="1" applyFill="1" applyBorder="1" applyAlignment="1">
      <alignment horizontal="center" vertical="center" wrapText="1"/>
    </xf>
    <xf numFmtId="0" fontId="7" fillId="22" borderId="30" xfId="0" applyFont="1" applyFill="1" applyBorder="1" applyAlignment="1">
      <alignment horizontal="center" vertical="top"/>
    </xf>
    <xf numFmtId="0" fontId="7" fillId="22" borderId="31" xfId="0" applyFont="1" applyFill="1" applyBorder="1" applyAlignment="1">
      <alignment horizontal="center" vertical="top"/>
    </xf>
    <xf numFmtId="0" fontId="23" fillId="0" borderId="0" xfId="0" applyFont="1" applyBorder="1" applyAlignment="1" applyProtection="1">
      <alignment horizontal="left" vertical="top" wrapText="1"/>
      <protection hidden="1"/>
    </xf>
    <xf numFmtId="0" fontId="10" fillId="0" borderId="32" xfId="0" applyFont="1" applyBorder="1" applyAlignment="1" applyProtection="1">
      <alignment horizontal="center" vertical="center" wrapText="1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1" fillId="8" borderId="103" xfId="0" applyFont="1" applyFill="1" applyBorder="1" applyAlignment="1" applyProtection="1">
      <alignment horizontal="center" vertical="center"/>
      <protection locked="0"/>
    </xf>
    <xf numFmtId="0" fontId="11" fillId="8" borderId="107" xfId="0" applyFont="1" applyFill="1" applyBorder="1" applyAlignment="1" applyProtection="1">
      <alignment horizontal="center" vertical="center"/>
      <protection locked="0"/>
    </xf>
    <xf numFmtId="0" fontId="22" fillId="24" borderId="63" xfId="0" applyFont="1" applyFill="1" applyBorder="1" applyAlignment="1" applyProtection="1">
      <alignment horizontal="center" vertical="center"/>
      <protection hidden="1"/>
    </xf>
    <xf numFmtId="0" fontId="22" fillId="24" borderId="108" xfId="0" applyFont="1" applyFill="1" applyBorder="1" applyAlignment="1" applyProtection="1">
      <alignment horizontal="center" vertical="center"/>
      <protection hidden="1"/>
    </xf>
    <xf numFmtId="164" fontId="10" fillId="22" borderId="15" xfId="1" applyNumberFormat="1" applyFont="1" applyFill="1" applyBorder="1" applyAlignment="1" applyProtection="1">
      <alignment horizontal="center" vertical="center" wrapText="1"/>
      <protection hidden="1"/>
    </xf>
    <xf numFmtId="0" fontId="7" fillId="22" borderId="30" xfId="0" applyFont="1" applyFill="1" applyBorder="1" applyAlignment="1">
      <alignment horizontal="center" vertical="center"/>
    </xf>
    <xf numFmtId="0" fontId="7" fillId="22" borderId="31" xfId="0" applyFont="1" applyFill="1" applyBorder="1" applyAlignment="1">
      <alignment horizontal="center" vertical="center"/>
    </xf>
    <xf numFmtId="0" fontId="7" fillId="22" borderId="43" xfId="0" applyFont="1" applyFill="1" applyBorder="1" applyAlignment="1">
      <alignment horizontal="center" vertical="center"/>
    </xf>
    <xf numFmtId="0" fontId="2" fillId="19" borderId="1" xfId="0" applyFont="1" applyFill="1" applyBorder="1" applyAlignment="1" applyProtection="1">
      <alignment horizontal="left" vertical="top"/>
      <protection hidden="1"/>
    </xf>
    <xf numFmtId="164" fontId="10" fillId="0" borderId="10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19" borderId="30" xfId="0" applyNumberFormat="1" applyFont="1" applyFill="1" applyBorder="1" applyAlignment="1" applyProtection="1">
      <alignment horizontal="left" vertical="center"/>
      <protection hidden="1"/>
    </xf>
    <xf numFmtId="165" fontId="2" fillId="19" borderId="31" xfId="0" applyNumberFormat="1" applyFont="1" applyFill="1" applyBorder="1" applyAlignment="1" applyProtection="1">
      <alignment horizontal="left" vertical="center"/>
      <protection hidden="1"/>
    </xf>
    <xf numFmtId="165" fontId="2" fillId="19" borderId="43" xfId="0" applyNumberFormat="1" applyFont="1" applyFill="1" applyBorder="1" applyAlignment="1" applyProtection="1">
      <alignment horizontal="left" vertical="center"/>
      <protection hidden="1"/>
    </xf>
    <xf numFmtId="0" fontId="21" fillId="0" borderId="100" xfId="0" applyFont="1" applyBorder="1" applyAlignment="1" applyProtection="1">
      <alignment horizontal="left" vertical="top" wrapText="1"/>
      <protection hidden="1"/>
    </xf>
    <xf numFmtId="0" fontId="21" fillId="0" borderId="107" xfId="0" applyFont="1" applyBorder="1" applyAlignment="1" applyProtection="1">
      <alignment horizontal="left" vertical="top" wrapText="1"/>
      <protection hidden="1"/>
    </xf>
    <xf numFmtId="0" fontId="8" fillId="22" borderId="42" xfId="0" applyFont="1" applyFill="1" applyBorder="1" applyAlignment="1">
      <alignment horizontal="center" vertical="center" wrapText="1"/>
    </xf>
    <xf numFmtId="0" fontId="8" fillId="22" borderId="23" xfId="0" applyFont="1" applyFill="1" applyBorder="1" applyAlignment="1">
      <alignment horizontal="center" vertical="center" wrapText="1"/>
    </xf>
    <xf numFmtId="0" fontId="2" fillId="19" borderId="30" xfId="0" applyFont="1" applyFill="1" applyBorder="1" applyAlignment="1" applyProtection="1">
      <alignment horizontal="left" vertical="top"/>
      <protection hidden="1"/>
    </xf>
    <xf numFmtId="0" fontId="2" fillId="19" borderId="31" xfId="0" applyFont="1" applyFill="1" applyBorder="1" applyAlignment="1" applyProtection="1">
      <alignment horizontal="left" vertical="top"/>
      <protection hidden="1"/>
    </xf>
    <xf numFmtId="0" fontId="2" fillId="19" borderId="43" xfId="0" applyFont="1" applyFill="1" applyBorder="1" applyAlignment="1" applyProtection="1">
      <alignment horizontal="left" vertical="top"/>
      <protection hidden="1"/>
    </xf>
    <xf numFmtId="165" fontId="7" fillId="5" borderId="45" xfId="0" applyNumberFormat="1" applyFont="1" applyFill="1" applyBorder="1" applyAlignment="1" applyProtection="1">
      <alignment horizontal="left" vertical="top"/>
      <protection hidden="1"/>
    </xf>
    <xf numFmtId="165" fontId="7" fillId="5" borderId="0" xfId="0" applyNumberFormat="1" applyFont="1" applyFill="1" applyBorder="1" applyAlignment="1" applyProtection="1">
      <alignment horizontal="left" vertical="top"/>
      <protection hidden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CheckBox" fmlaLink="$L$10" lockText="1" noThreeD="1"/>
</file>

<file path=xl/ctrlProps/ctrlProp2.xml><?xml version="1.0" encoding="utf-8"?>
<formControlPr xmlns="http://schemas.microsoft.com/office/spreadsheetml/2009/9/main" objectType="CheckBox" fmlaLink="$L$11" lockText="1" noThreeD="1"/>
</file>

<file path=xl/ctrlProps/ctrlProp3.xml><?xml version="1.0" encoding="utf-8"?>
<formControlPr xmlns="http://schemas.microsoft.com/office/spreadsheetml/2009/9/main" objectType="CheckBox" fmlaLink="$L$12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254000</xdr:colOff>
          <xdr:row>9</xdr:row>
          <xdr:rowOff>25400</xdr:rowOff>
        </xdr:from>
        <xdr:to>
          <xdr:col>6</xdr:col>
          <xdr:colOff>723900</xdr:colOff>
          <xdr:row>9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254000</xdr:colOff>
          <xdr:row>10</xdr:row>
          <xdr:rowOff>25400</xdr:rowOff>
        </xdr:from>
        <xdr:to>
          <xdr:col>6</xdr:col>
          <xdr:colOff>533400</xdr:colOff>
          <xdr:row>10</xdr:row>
          <xdr:rowOff>215900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254000</xdr:colOff>
          <xdr:row>11</xdr:row>
          <xdr:rowOff>12700</xdr:rowOff>
        </xdr:from>
        <xdr:to>
          <xdr:col>6</xdr:col>
          <xdr:colOff>533400</xdr:colOff>
          <xdr:row>11</xdr:row>
          <xdr:rowOff>203200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Victor/Documents/1-Victor%20DSI(UACH)/DSI-Victor/1%20-%20DIRECCION%20ACADEMICA/DIRECCION/BECA%20AL%20DESEMPE&#209;O/2018/U006/Instrumento%20U060%20-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ach.mx/academica_y_escolar/2013/03/01/Users/Manuel%20Arana/AppData/Local/Microsoft/Windows/Temporary%20Internet%20Files/Content.Outlook/20U3X5OA/instrumento-esdeped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1. CALIDAD"/>
      <sheetName val="2. DEDICACIÓN y 3. PERMANENCIA"/>
    </sheetNames>
    <sheetDataSet>
      <sheetData sheetId="0" refreshError="1"/>
      <sheetData sheetId="1">
        <row r="4">
          <cell r="A4" t="str">
            <v>I. CALIDAD EN EL DESEMPEÑO DOCENTE (700 PUNTOS)</v>
          </cell>
        </row>
        <row r="6">
          <cell r="B6" t="str">
            <v>1. Calidad en la docencia (Máximo de 250 puntos)</v>
          </cell>
        </row>
        <row r="68">
          <cell r="B68" t="str">
            <v>2. Investigación (Máximo de 125 puntos)</v>
          </cell>
        </row>
        <row r="113">
          <cell r="B113" t="str">
            <v>3. Tutorías (Máximo 225 puntos)</v>
          </cell>
        </row>
        <row r="139">
          <cell r="B139" t="str">
            <v>4. Participación en Cuerpos Colegiados y Gestión Académica (100 puntos máximo)</v>
          </cell>
        </row>
      </sheetData>
      <sheetData sheetId="2">
        <row r="4">
          <cell r="A4" t="str">
            <v>II. DEDICACIÓN (200 PUNTOS MÁXIMO)</v>
          </cell>
        </row>
        <row r="38">
          <cell r="A38" t="str">
            <v>III. PERMANENCIA (100 PUNTOS MÁXIMO)</v>
          </cell>
        </row>
        <row r="49">
          <cell r="A49" t="str">
            <v>TOTAL DE PUNTOS EN LA EVALUACIÓN: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1. CALIDAD"/>
      <sheetName val="2. DEDICACIÓN y 3. PERMANENCIA"/>
    </sheetNames>
    <sheetDataSet>
      <sheetData sheetId="0" refreshError="1"/>
      <sheetData sheetId="1" refreshError="1">
        <row r="98">
          <cell r="G98" t="str">
            <v>Fecha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46" Type="http://schemas.openxmlformats.org/officeDocument/2006/relationships/ctrlProp" Target="../ctrlProps/ctrlProp1.xml"/><Relationship Id="rId47" Type="http://schemas.openxmlformats.org/officeDocument/2006/relationships/ctrlProp" Target="../ctrlProps/ctrlProp2.xml"/><Relationship Id="rId48" Type="http://schemas.openxmlformats.org/officeDocument/2006/relationships/ctrlProp" Target="../ctrlProps/ctrlProp3.xml"/><Relationship Id="rId20" Type="http://schemas.openxmlformats.org/officeDocument/2006/relationships/hyperlink" Target="https://cdn.uach.mx/esdeped/4.4.2._reestructuracion_y_elaboracion_de_planes_de_estudio.doc" TargetMode="External"/><Relationship Id="rId21" Type="http://schemas.openxmlformats.org/officeDocument/2006/relationships/hyperlink" Target="https://cdn.uach.mx/esdeped/4.4.3._responsable_de_laboratorio_o_academia.doc" TargetMode="External"/><Relationship Id="rId22" Type="http://schemas.openxmlformats.org/officeDocument/2006/relationships/hyperlink" Target="https://cdn.uach.mx/esdeped/4.4.4._participacion_en_comisiones_academicas.doc" TargetMode="External"/><Relationship Id="rId23" Type="http://schemas.openxmlformats.org/officeDocument/2006/relationships/hyperlink" Target="https://cdn.uach.mx/esdeped/4.4.5._evaluador_de_programas_academicos.doc" TargetMode="External"/><Relationship Id="rId24" Type="http://schemas.openxmlformats.org/officeDocument/2006/relationships/hyperlink" Target="https://cdn.uach.mx/esdeped/4.4.8._contribucion_al_aprovechamiento_de_los_alumnos.doc" TargetMode="External"/><Relationship Id="rId25" Type="http://schemas.openxmlformats.org/officeDocument/2006/relationships/hyperlink" Target="https://cdn.uach.mx/esdeped/4.4.9._contribucion_a_la_formacion_de_redes_en_cuerpos_academicos.doc" TargetMode="External"/><Relationship Id="rId26" Type="http://schemas.openxmlformats.org/officeDocument/2006/relationships/hyperlink" Target="https://cdn.uach.mx/esdeped/3.3.8._premios_de_reconocimiento_nacional_o_internacional.doc" TargetMode="External"/><Relationship Id="rId27" Type="http://schemas.openxmlformats.org/officeDocument/2006/relationships/hyperlink" Target="https://cdn.uach.mx/esdeped/3.3.7._tutorias_(una_por_semestre).doc" TargetMode="External"/><Relationship Id="rId28" Type="http://schemas.openxmlformats.org/officeDocument/2006/relationships/hyperlink" Target="https://cdn.uach.mx/esdeped/3.3.6._asesorias_academicas_a_alumnos.doc" TargetMode="External"/><Relationship Id="rId29" Type="http://schemas.openxmlformats.org/officeDocument/2006/relationships/hyperlink" Target="https://cdn.uach.mx/esdeped/3.3.5_(b)._asesoria_prestadores_ss_brigadas.doc" TargetMode="External"/><Relationship Id="rId1" Type="http://schemas.openxmlformats.org/officeDocument/2006/relationships/hyperlink" Target="https://cdn.uach.mx/esdeped/1.1.2.5._estancias_cortas_autorizadas.doc" TargetMode="External"/><Relationship Id="rId2" Type="http://schemas.openxmlformats.org/officeDocument/2006/relationships/hyperlink" Target="https://cdn.uach.mx/esdeped/1.1.2.6._traduccion_de_articulos.doc" TargetMode="External"/><Relationship Id="rId3" Type="http://schemas.openxmlformats.org/officeDocument/2006/relationships/hyperlink" Target="https://cdn.uach.mx/esdeped/1.1.3._evaluacion_desempeno_docente_por_alumnos.doc" TargetMode="External"/><Relationship Id="rId4" Type="http://schemas.openxmlformats.org/officeDocument/2006/relationships/hyperlink" Target="https://cdn.uach.mx/esdeped/1.1.3._evaluacion_desempeno_por_autoridad_academica.doc" TargetMode="External"/><Relationship Id="rId5" Type="http://schemas.openxmlformats.org/officeDocument/2006/relationships/hyperlink" Target="https://cdn.uach.mx/esdeped/1.1.3.1._puntualidad_y_cumplimiento_de_horario.doc" TargetMode="External"/><Relationship Id="rId30" Type="http://schemas.openxmlformats.org/officeDocument/2006/relationships/hyperlink" Target="https://cdn.uach.mx/esdeped/3.3.5_(a)._asesoria_prestadores_de_ss_individuales.doc" TargetMode="External"/><Relationship Id="rId31" Type="http://schemas.openxmlformats.org/officeDocument/2006/relationships/hyperlink" Target="https://cdn.uach.mx/esdeped/3.3.4._asesoria_y_revision_de_memorias._monografias,_trabajos_liberados.doc" TargetMode="External"/><Relationship Id="rId32" Type="http://schemas.openxmlformats.org/officeDocument/2006/relationships/hyperlink" Target="https://cdn.uach.mx/esdeped/3.3.3._tesinas.doc" TargetMode="External"/><Relationship Id="rId9" Type="http://schemas.openxmlformats.org/officeDocument/2006/relationships/hyperlink" Target="https://cdn.uach.mx/esdeped/1.1.4.3._antologias,_guia,_%20manuales.doc" TargetMode="External"/><Relationship Id="rId6" Type="http://schemas.openxmlformats.org/officeDocument/2006/relationships/hyperlink" Target="https://cdn.uach.mx/esdeped/1.1.3.2._elaboracion_de_examenes_departamentales.doc" TargetMode="External"/><Relationship Id="rId7" Type="http://schemas.openxmlformats.org/officeDocument/2006/relationships/hyperlink" Target="https://cdn.uach.mx/esdeped/1.1.4.1._material_didactico_innovador.doc" TargetMode="External"/><Relationship Id="rId8" Type="http://schemas.openxmlformats.org/officeDocument/2006/relationships/hyperlink" Target="https://cdn.uach.mx/esdeped/1.1.4.2._software_educativo_sobre_sus_asignaturas.doc" TargetMode="External"/><Relationship Id="rId33" Type="http://schemas.openxmlformats.org/officeDocument/2006/relationships/hyperlink" Target="https://cdn.uach.mx/esdeped/3.3.2._revisor_de_tesis.doc" TargetMode="External"/><Relationship Id="rId34" Type="http://schemas.openxmlformats.org/officeDocument/2006/relationships/hyperlink" Target="https://cdn.uach.mx/esdeped/3.3.1._tesis_dirigidas_y_concluidas.doc" TargetMode="External"/><Relationship Id="rId35" Type="http://schemas.openxmlformats.org/officeDocument/2006/relationships/hyperlink" Target="https://cdn.uach.mx/esdeped/2.2.14._creacion,publicacion_y_representacion_de_obras_originales_e_ineditas.doc" TargetMode="External"/><Relationship Id="rId36" Type="http://schemas.openxmlformats.org/officeDocument/2006/relationships/hyperlink" Target="https://cdn.uach.mx/esdeped/3.3.5_(c)_asesoria_prestadores_de_ss_brigadas_multidisciplinarias.doc" TargetMode="External"/><Relationship Id="rId10" Type="http://schemas.openxmlformats.org/officeDocument/2006/relationships/hyperlink" Target="https://cdn.uach.mx/esdeped/1.1.4.4._ponente_en_cursos_y_talleres_extracurriculares.doc" TargetMode="External"/><Relationship Id="rId11" Type="http://schemas.openxmlformats.org/officeDocument/2006/relationships/hyperlink" Target="https://cdn.uach.mx/esdeped/2.2.1._participacion_en_proyectos_de_generacion_y_aplicacion_de_conocimiento_(financiamiento_interno).doc" TargetMode="External"/><Relationship Id="rId12" Type="http://schemas.openxmlformats.org/officeDocument/2006/relationships/hyperlink" Target="https://cdn.uach.mx/esdeped/2.2.1._participacion_en_proyectos_de_generacion_y_aplicacion_de_conocimiento_(financiamiento_externo).doc" TargetMode="External"/><Relationship Id="rId13" Type="http://schemas.openxmlformats.org/officeDocument/2006/relationships/hyperlink" Target="https://cdn.uach.mx/esdeped/2.2.2._responsable_de_proyectos_de_generacion_y_aplicacion_del_conocimiento.doc" TargetMode="External"/><Relationship Id="rId14" Type="http://schemas.openxmlformats.org/officeDocument/2006/relationships/hyperlink" Target="https://cdn.uach.mx/esdeped/2.2.4._obtencion_de_recursos_externos_para_la_institucion.doc" TargetMode="External"/><Relationship Id="rId15" Type="http://schemas.openxmlformats.org/officeDocument/2006/relationships/hyperlink" Target="https://cdn.uach.mx/esdeped/2.2.5._proyectos_generacion_y_aplicacion_de_conocimientos_eficientar_el_aprendizaje.doc" TargetMode="External"/><Relationship Id="rId16" Type="http://schemas.openxmlformats.org/officeDocument/2006/relationships/hyperlink" Target="https://cdn.uach.mx/esdeped/2.2.15._concertista,_solista,_expositor,_coreografo,_actor_o_director.doc" TargetMode="External"/><Relationship Id="rId17" Type="http://schemas.openxmlformats.org/officeDocument/2006/relationships/hyperlink" Target="https://cdn.uach.mx/esdeped/2.2.17._cursos_organizados_por_la_uach_sectores_sociales_o_productivos.doc" TargetMode="External"/><Relationship Id="rId18" Type="http://schemas.openxmlformats.org/officeDocument/2006/relationships/hyperlink" Target="https://cdn.uach.mx/esdeped/3.3.9._premios_de_reconocimiento_en_actividades_deportivas.doc" TargetMode="External"/><Relationship Id="rId19" Type="http://schemas.openxmlformats.org/officeDocument/2006/relationships/hyperlink" Target="https://cdn.uach.mx/esdeped/4.4.1._coordinador_de_programa_educativo_o_de_tutorias.doc" TargetMode="External"/><Relationship Id="rId37" Type="http://schemas.openxmlformats.org/officeDocument/2006/relationships/hyperlink" Target="https://cdn.uach.mx/esdeped/4.4.6.1._organizacion_de_eventos_seminarios.doc" TargetMode="External"/><Relationship Id="rId38" Type="http://schemas.openxmlformats.org/officeDocument/2006/relationships/hyperlink" Target="https://cdn.uach.mx/esdeped/4.4.6.1._seminarios_comite_organizador.doc" TargetMode="External"/><Relationship Id="rId39" Type="http://schemas.openxmlformats.org/officeDocument/2006/relationships/hyperlink" Target="https://cdn.uach.mx/esdeped/4.4.6.2._congresos_comite_organizador.doc" TargetMode="External"/><Relationship Id="rId40" Type="http://schemas.openxmlformats.org/officeDocument/2006/relationships/hyperlink" Target="https://cdn.uach.mx/esdeped/4.4.6.2._congresos_comision_de_apoyo.doc" TargetMode="External"/><Relationship Id="rId41" Type="http://schemas.openxmlformats.org/officeDocument/2006/relationships/hyperlink" Target="https://cdn.uach.mx/esdeped/4.4.6.3._diplomado,_semana_academica,_etc._comite_organizador.doc" TargetMode="External"/><Relationship Id="rId42" Type="http://schemas.openxmlformats.org/officeDocument/2006/relationships/hyperlink" Target="https://cdn.uach.mx/esdeped/4.4.6.3._diplomado,_semana_academica,_etc._comision_de_apoyo.doc" TargetMode="External"/><Relationship Id="rId43" Type="http://schemas.openxmlformats.org/officeDocument/2006/relationships/printerSettings" Target="../printerSettings/printerSettings2.bin"/><Relationship Id="rId44" Type="http://schemas.openxmlformats.org/officeDocument/2006/relationships/drawing" Target="../drawings/drawing1.xml"/><Relationship Id="rId45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7" tint="0.39997558519241921"/>
    <pageSetUpPr fitToPage="1"/>
  </sheetPr>
  <dimension ref="A1:I34"/>
  <sheetViews>
    <sheetView tabSelected="1" zoomScale="68" zoomScaleNormal="68" zoomScalePageLayoutView="68" workbookViewId="0">
      <selection activeCell="J21" sqref="J21"/>
    </sheetView>
  </sheetViews>
  <sheetFormatPr baseColWidth="10" defaultRowHeight="15" x14ac:dyDescent="0.2"/>
  <cols>
    <col min="1" max="1" width="53.83203125" customWidth="1"/>
    <col min="2" max="2" width="34.83203125" customWidth="1"/>
    <col min="5" max="5" width="8.6640625" customWidth="1"/>
    <col min="6" max="6" width="3" hidden="1" customWidth="1"/>
    <col min="7" max="7" width="5.1640625" hidden="1" customWidth="1"/>
    <col min="8" max="8" width="0.6640625" customWidth="1"/>
    <col min="9" max="9" width="11.1640625" customWidth="1"/>
  </cols>
  <sheetData>
    <row r="1" spans="1:6" ht="39.75" customHeight="1" x14ac:dyDescent="0.2">
      <c r="A1" s="267" t="str">
        <f>"ANEXO 2 DE LA CONVOCATORIA DEL PROGRAMA DE ESTÍMULOS AL DESEMPEÑO DEL PERSONAL DOCENTE U006 - "&amp;F1</f>
        <v>ANEXO 2 DE LA CONVOCATORIA DEL PROGRAMA DE ESTÍMULOS AL DESEMPEÑO DEL PERSONAL DOCENTE U006 - 2019</v>
      </c>
      <c r="B1" s="267"/>
      <c r="C1" s="267"/>
      <c r="D1" s="267"/>
      <c r="F1">
        <v>2019</v>
      </c>
    </row>
    <row r="2" spans="1:6" ht="19" thickBot="1" x14ac:dyDescent="0.25">
      <c r="A2" s="268"/>
      <c r="B2" s="268"/>
      <c r="C2" s="268"/>
      <c r="D2" s="268"/>
    </row>
    <row r="3" spans="1:6" ht="21" thickBot="1" x14ac:dyDescent="0.25">
      <c r="A3" s="236" t="s">
        <v>156</v>
      </c>
      <c r="B3" s="269"/>
      <c r="C3" s="270"/>
      <c r="D3" s="271"/>
    </row>
    <row r="4" spans="1:6" ht="19" thickBot="1" x14ac:dyDescent="0.25">
      <c r="A4" s="236" t="s">
        <v>157</v>
      </c>
      <c r="B4" s="272"/>
      <c r="C4" s="273"/>
      <c r="D4" s="274"/>
    </row>
    <row r="5" spans="1:6" ht="18" x14ac:dyDescent="0.2">
      <c r="A5" s="237" t="s">
        <v>158</v>
      </c>
      <c r="B5" s="283"/>
      <c r="C5" s="284"/>
      <c r="D5" s="285"/>
    </row>
    <row r="6" spans="1:6" ht="18" x14ac:dyDescent="0.2">
      <c r="A6" s="238" t="s">
        <v>159</v>
      </c>
      <c r="B6" s="286"/>
      <c r="C6" s="287"/>
      <c r="D6" s="288"/>
    </row>
    <row r="7" spans="1:6" ht="18" x14ac:dyDescent="0.2">
      <c r="A7" s="239" t="s">
        <v>160</v>
      </c>
      <c r="B7" s="289"/>
      <c r="C7" s="290"/>
      <c r="D7" s="291"/>
    </row>
    <row r="8" spans="1:6" ht="18" x14ac:dyDescent="0.2">
      <c r="A8" s="240" t="s">
        <v>161</v>
      </c>
      <c r="B8" s="277"/>
      <c r="C8" s="278"/>
      <c r="D8" s="279"/>
    </row>
    <row r="9" spans="1:6" ht="18" x14ac:dyDescent="0.2">
      <c r="A9" s="240" t="s">
        <v>162</v>
      </c>
      <c r="B9" s="280"/>
      <c r="C9" s="281"/>
      <c r="D9" s="282"/>
    </row>
    <row r="10" spans="1:6" ht="18" x14ac:dyDescent="0.2">
      <c r="A10" s="241" t="s">
        <v>163</v>
      </c>
      <c r="B10" s="280"/>
      <c r="C10" s="281"/>
      <c r="D10" s="282"/>
      <c r="E10" s="235"/>
    </row>
    <row r="11" spans="1:6" ht="18" x14ac:dyDescent="0.2">
      <c r="A11" s="241" t="s">
        <v>164</v>
      </c>
      <c r="B11" s="280"/>
      <c r="C11" s="281"/>
      <c r="D11" s="282"/>
    </row>
    <row r="12" spans="1:6" ht="18" x14ac:dyDescent="0.2">
      <c r="A12" s="241" t="s">
        <v>165</v>
      </c>
      <c r="B12" s="280"/>
      <c r="C12" s="281"/>
      <c r="D12" s="282"/>
    </row>
    <row r="13" spans="1:6" ht="18" x14ac:dyDescent="0.2">
      <c r="A13" s="240" t="s">
        <v>166</v>
      </c>
      <c r="B13" s="292"/>
      <c r="C13" s="293"/>
      <c r="D13" s="294"/>
    </row>
    <row r="14" spans="1:6" ht="18" x14ac:dyDescent="0.2">
      <c r="A14" s="240" t="s">
        <v>167</v>
      </c>
      <c r="B14" s="295"/>
      <c r="C14" s="296"/>
      <c r="D14" s="297"/>
    </row>
    <row r="15" spans="1:6" ht="19.5" customHeight="1" x14ac:dyDescent="0.2">
      <c r="A15" s="298" t="s">
        <v>228</v>
      </c>
      <c r="B15" s="242" t="s">
        <v>168</v>
      </c>
      <c r="C15" s="300" t="s">
        <v>169</v>
      </c>
      <c r="D15" s="301"/>
    </row>
    <row r="16" spans="1:6" ht="27" customHeight="1" thickBot="1" x14ac:dyDescent="0.25">
      <c r="A16" s="299"/>
      <c r="B16" s="266"/>
      <c r="C16" s="302"/>
      <c r="D16" s="303"/>
    </row>
    <row r="17" spans="1:8" ht="39.75" customHeight="1" thickBot="1" x14ac:dyDescent="0.25">
      <c r="A17" s="243" t="s">
        <v>170</v>
      </c>
      <c r="B17" s="304" t="str">
        <f>"Semestre ene-jun = "&amp;F17&amp;"     //     Semestre ago - dic = "&amp;G17&amp;"              Promedio semestral = "&amp;H17</f>
        <v>Semestre ene-jun = 0     //     Semestre ago - dic = 0              Promedio semestral = 0</v>
      </c>
      <c r="C17" s="305"/>
      <c r="D17" s="306"/>
      <c r="F17">
        <f>'2. DEDICACIÓN Y 3. PERMANENCIA'!G25</f>
        <v>0</v>
      </c>
      <c r="G17">
        <f>'2. DEDICACIÓN Y 3. PERMANENCIA'!G36</f>
        <v>0</v>
      </c>
      <c r="H17">
        <f>'2. DEDICACIÓN Y 3. PERMANENCIA'!Q36</f>
        <v>0</v>
      </c>
    </row>
    <row r="18" spans="1:8" ht="19" thickBot="1" x14ac:dyDescent="0.25">
      <c r="A18" s="244"/>
      <c r="B18" s="244"/>
      <c r="C18" s="244"/>
      <c r="D18" s="244"/>
    </row>
    <row r="19" spans="1:8" ht="19" thickBot="1" x14ac:dyDescent="0.25">
      <c r="A19" s="307" t="s">
        <v>171</v>
      </c>
      <c r="B19" s="308"/>
      <c r="C19" s="308"/>
      <c r="D19" s="309"/>
    </row>
    <row r="20" spans="1:8" ht="19" thickBot="1" x14ac:dyDescent="0.25">
      <c r="A20" s="245"/>
      <c r="B20" s="246"/>
      <c r="C20" s="223"/>
      <c r="D20" s="224" t="s">
        <v>172</v>
      </c>
    </row>
    <row r="21" spans="1:8" ht="18" x14ac:dyDescent="0.2">
      <c r="A21" s="310" t="str">
        <f>'[1]1. CALIDAD'!B6</f>
        <v>1. Calidad en la docencia (Máximo de 250 puntos)</v>
      </c>
      <c r="B21" s="310"/>
      <c r="C21" s="225">
        <f>'1. CALIDAD'!K68</f>
        <v>0</v>
      </c>
      <c r="D21" s="226"/>
    </row>
    <row r="22" spans="1:8" ht="18" x14ac:dyDescent="0.2">
      <c r="A22" s="311" t="str">
        <f>'[1]1. CALIDAD'!B68</f>
        <v>2. Investigación (Máximo de 125 puntos)</v>
      </c>
      <c r="B22" s="311"/>
      <c r="C22" s="227">
        <f>'1. CALIDAD'!K113</f>
        <v>0</v>
      </c>
      <c r="D22" s="228"/>
    </row>
    <row r="23" spans="1:8" ht="18" x14ac:dyDescent="0.2">
      <c r="A23" s="311" t="str">
        <f>'[1]1. CALIDAD'!B113</f>
        <v>3. Tutorías (Máximo 225 puntos)</v>
      </c>
      <c r="B23" s="311"/>
      <c r="C23" s="227">
        <f>'1. CALIDAD'!K139</f>
        <v>0</v>
      </c>
      <c r="D23" s="228"/>
    </row>
    <row r="24" spans="1:8" ht="18" x14ac:dyDescent="0.2">
      <c r="A24" s="311" t="str">
        <f>'[1]1. CALIDAD'!B139</f>
        <v>4. Participación en Cuerpos Colegiados y Gestión Académica (100 puntos máximo)</v>
      </c>
      <c r="B24" s="311"/>
      <c r="C24" s="227">
        <f>'1. CALIDAD'!K160</f>
        <v>0</v>
      </c>
      <c r="D24" s="228"/>
    </row>
    <row r="25" spans="1:8" ht="21" thickBot="1" x14ac:dyDescent="0.25">
      <c r="A25" s="317" t="str">
        <f>'[1]1. CALIDAD'!A4</f>
        <v>I. CALIDAD EN EL DESEMPEÑO DOCENTE (700 PUNTOS)</v>
      </c>
      <c r="B25" s="317"/>
      <c r="C25" s="229">
        <f>'1. CALIDAD'!K162</f>
        <v>0</v>
      </c>
      <c r="D25" s="230">
        <f>IF(AND(C25&gt;209,C25&lt;265),1,IF(AND(C25&gt;264,C25&lt;320),2,IF(AND(C25&gt;319,C25&lt;375),3,IF(AND(C25&gt;374,C25&lt;430),4,IF(AND(C25&gt;429,C25&lt;485),5,IF(AND(C25&gt;484,C25&lt;540),6,IF(AND(C25&gt;539,C25&lt;595),7,IF(AND(C25&gt;594,C25&lt;650),8,IF(C25&gt;649,9,0)))))))))</f>
        <v>0</v>
      </c>
    </row>
    <row r="26" spans="1:8" ht="19" thickBot="1" x14ac:dyDescent="0.25">
      <c r="A26" s="318" t="str">
        <f>'[1]2. DEDICACIÓN y 3. PERMANENCIA'!A4:F4</f>
        <v>II. DEDICACIÓN (200 PUNTOS MÁXIMO)</v>
      </c>
      <c r="B26" s="318"/>
      <c r="C26" s="231">
        <f>'2. DEDICACIÓN Y 3. PERMANENCIA'!J38</f>
        <v>0</v>
      </c>
      <c r="D26" s="232"/>
    </row>
    <row r="27" spans="1:8" ht="19" thickBot="1" x14ac:dyDescent="0.25">
      <c r="A27" s="318" t="str">
        <f>'[1]2. DEDICACIÓN y 3. PERMANENCIA'!A38:F38</f>
        <v>III. PERMANENCIA (100 PUNTOS MÁXIMO)</v>
      </c>
      <c r="B27" s="318"/>
      <c r="C27" s="231">
        <f>'2. DEDICACIÓN Y 3. PERMANENCIA'!J44</f>
        <v>0</v>
      </c>
      <c r="D27" s="233"/>
    </row>
    <row r="28" spans="1:8" ht="21" thickBot="1" x14ac:dyDescent="0.25">
      <c r="A28" s="318" t="str">
        <f>'[1]2. DEDICACIÓN y 3. PERMANENCIA'!A49</f>
        <v>TOTAL DE PUNTOS EN LA EVALUACIÓN:</v>
      </c>
      <c r="B28" s="318"/>
      <c r="C28" s="231">
        <f>C25+C26+C27</f>
        <v>0</v>
      </c>
      <c r="D28" s="234">
        <f>IF(AND(C28&gt;300,C28&lt;378),1,IF(AND(C28&gt;377,C28&lt;456),2,IF(AND(C28&gt;455,C28&lt;534),3,IF(AND(C28&gt;533,C28&lt;612),4,IF(AND(C28&gt;611,C28&lt;690),5,IF(AND(C28&gt;689,C28&lt;768),6,IF(AND(C28&gt;767,C28&lt;846),7,IF(AND(C28&gt;845,C28&lt;924),8,IF(C28&gt;923,9,0)))))))))</f>
        <v>0</v>
      </c>
    </row>
    <row r="29" spans="1:8" ht="34" thickBot="1" x14ac:dyDescent="0.25">
      <c r="A29" s="319" t="s">
        <v>173</v>
      </c>
      <c r="B29" s="319"/>
      <c r="C29" s="275">
        <f>MIN(D25,D28)</f>
        <v>0</v>
      </c>
      <c r="D29" s="276"/>
    </row>
    <row r="30" spans="1:8" ht="19" thickBot="1" x14ac:dyDescent="0.25">
      <c r="A30" s="244"/>
      <c r="B30" s="247"/>
      <c r="C30" s="244"/>
      <c r="D30" s="244"/>
    </row>
    <row r="31" spans="1:8" ht="18" x14ac:dyDescent="0.2">
      <c r="A31" s="248" t="s">
        <v>174</v>
      </c>
      <c r="B31" s="312"/>
      <c r="C31" s="312"/>
      <c r="D31" s="312"/>
    </row>
    <row r="32" spans="1:8" ht="19" thickBot="1" x14ac:dyDescent="0.25">
      <c r="A32" s="249" t="s">
        <v>175</v>
      </c>
      <c r="B32" s="313"/>
      <c r="C32" s="313"/>
      <c r="D32" s="313"/>
    </row>
    <row r="33" spans="1:4" ht="19" thickBot="1" x14ac:dyDescent="0.25">
      <c r="A33" s="244"/>
      <c r="B33" s="244"/>
      <c r="C33" s="244"/>
      <c r="D33" s="244"/>
    </row>
    <row r="34" spans="1:4" ht="48.75" customHeight="1" thickBot="1" x14ac:dyDescent="0.25">
      <c r="A34" s="250" t="s">
        <v>176</v>
      </c>
      <c r="B34" s="314"/>
      <c r="C34" s="315"/>
      <c r="D34" s="316"/>
    </row>
  </sheetData>
  <sheetProtection password="CBA8" sheet="1" objects="1" scenarios="1"/>
  <protectedRanges>
    <protectedRange sqref="B3:D9" name="Rango1"/>
    <protectedRange sqref="B13:D14" name="Rango3"/>
    <protectedRange sqref="B16:D16" name="Rango4"/>
  </protectedRanges>
  <mergeCells count="32">
    <mergeCell ref="A22:B22"/>
    <mergeCell ref="A23:B23"/>
    <mergeCell ref="B31:D31"/>
    <mergeCell ref="B32:D32"/>
    <mergeCell ref="B34:D34"/>
    <mergeCell ref="A24:B24"/>
    <mergeCell ref="A25:B25"/>
    <mergeCell ref="A26:B26"/>
    <mergeCell ref="A27:B27"/>
    <mergeCell ref="A28:B28"/>
    <mergeCell ref="A29:B29"/>
    <mergeCell ref="C15:D15"/>
    <mergeCell ref="C16:D16"/>
    <mergeCell ref="B17:D17"/>
    <mergeCell ref="A19:D19"/>
    <mergeCell ref="A21:B21"/>
    <mergeCell ref="A1:D1"/>
    <mergeCell ref="A2:D2"/>
    <mergeCell ref="B3:D3"/>
    <mergeCell ref="B4:D4"/>
    <mergeCell ref="C29:D29"/>
    <mergeCell ref="B8:D8"/>
    <mergeCell ref="B9:D9"/>
    <mergeCell ref="B10:D10"/>
    <mergeCell ref="B11:D11"/>
    <mergeCell ref="B5:D5"/>
    <mergeCell ref="B6:D6"/>
    <mergeCell ref="B7:D7"/>
    <mergeCell ref="B12:D12"/>
    <mergeCell ref="B13:D13"/>
    <mergeCell ref="B14:D14"/>
    <mergeCell ref="A15:A16"/>
  </mergeCells>
  <pageMargins left="0.25" right="0.25" top="0.75" bottom="0.75" header="0.3" footer="0.3"/>
  <pageSetup scale="91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Hoja5!$H$1:$H$16</xm:f>
          </x14:formula1>
          <xm:sqref>B9:D9</xm:sqref>
        </x14:dataValidation>
        <x14:dataValidation type="list" allowBlank="1" showInputMessage="1" showErrorMessage="1">
          <x14:formula1>
            <xm:f>Hoja5!$C$1:$C$9</xm:f>
          </x14:formula1>
          <xm:sqref>B10:D10</xm:sqref>
        </x14:dataValidation>
        <x14:dataValidation type="list" allowBlank="1" showInputMessage="1" showErrorMessage="1">
          <x14:formula1>
            <xm:f>Hoja5!$D$1:$D$8</xm:f>
          </x14:formula1>
          <xm:sqref>B11:D11</xm:sqref>
        </x14:dataValidation>
        <x14:dataValidation type="list" allowBlank="1" showInputMessage="1" showErrorMessage="1">
          <x14:formula1>
            <xm:f>Hoja5!$E$1:$E$13</xm:f>
          </x14:formula1>
          <xm:sqref>B12:D12</xm:sqref>
        </x14:dataValidation>
        <x14:dataValidation type="list" allowBlank="1" showInputMessage="1" showErrorMessage="1">
          <x14:formula1>
            <xm:f>Hoja5!$F$1:$F$4</xm:f>
          </x14:formula1>
          <xm:sqref>B13:D13</xm:sqref>
        </x14:dataValidation>
        <x14:dataValidation type="list" allowBlank="1" showInputMessage="1" showErrorMessage="1">
          <x14:formula1>
            <xm:f>Hoja5!$G$1:$G$6</xm:f>
          </x14:formula1>
          <xm:sqref>B14:D14</xm:sqref>
        </x14:dataValidation>
        <x14:dataValidation type="list" allowBlank="1" showInputMessage="1" showErrorMessage="1">
          <x14:formula1>
            <xm:f>Hoja5!H1:H16</xm:f>
          </x14:formula1>
          <xm:sqref>I3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-0.249977111117893"/>
    <pageSetUpPr fitToPage="1"/>
  </sheetPr>
  <dimension ref="A2:N163"/>
  <sheetViews>
    <sheetView showGridLines="0" topLeftCell="C1" zoomScale="86" zoomScaleNormal="86" zoomScalePageLayoutView="86" workbookViewId="0">
      <pane ySplit="5" topLeftCell="A6" activePane="bottomLeft" state="frozen"/>
      <selection pane="bottomLeft" activeCell="H158" sqref="H158"/>
    </sheetView>
  </sheetViews>
  <sheetFormatPr baseColWidth="10" defaultRowHeight="15" x14ac:dyDescent="0.2"/>
  <cols>
    <col min="1" max="3" width="4" customWidth="1"/>
    <col min="4" max="4" width="100.1640625" customWidth="1"/>
    <col min="5" max="5" width="9.5" customWidth="1"/>
    <col min="9" max="9" width="15.6640625" bestFit="1" customWidth="1"/>
    <col min="10" max="10" width="13" bestFit="1" customWidth="1"/>
    <col min="11" max="11" width="14.1640625" customWidth="1"/>
    <col min="12" max="12" width="11.83203125" hidden="1" customWidth="1"/>
    <col min="13" max="13" width="10.83203125" hidden="1" customWidth="1"/>
  </cols>
  <sheetData>
    <row r="2" spans="1:12" ht="36" customHeight="1" x14ac:dyDescent="0.25">
      <c r="B2" s="356" t="s">
        <v>225</v>
      </c>
      <c r="C2" s="356"/>
      <c r="D2" s="356"/>
      <c r="E2" s="356"/>
      <c r="F2" s="356"/>
      <c r="G2" s="356"/>
      <c r="H2" s="356"/>
      <c r="I2" s="356"/>
      <c r="J2" s="356"/>
      <c r="K2" s="356"/>
    </row>
    <row r="4" spans="1:12" ht="19" x14ac:dyDescent="0.25">
      <c r="A4" s="328" t="s">
        <v>0</v>
      </c>
      <c r="B4" s="328"/>
      <c r="C4" s="328"/>
      <c r="D4" s="328"/>
      <c r="E4" s="328"/>
      <c r="F4" s="328"/>
      <c r="G4" s="328"/>
      <c r="H4" s="333" t="s">
        <v>128</v>
      </c>
      <c r="I4" s="327" t="s">
        <v>1</v>
      </c>
      <c r="J4" s="327"/>
      <c r="K4" s="327"/>
    </row>
    <row r="5" spans="1:12" ht="19" x14ac:dyDescent="0.25">
      <c r="A5" s="328"/>
      <c r="B5" s="328"/>
      <c r="C5" s="328"/>
      <c r="D5" s="328"/>
      <c r="E5" s="328"/>
      <c r="F5" s="328"/>
      <c r="G5" s="328"/>
      <c r="H5" s="334"/>
      <c r="I5" s="107" t="s">
        <v>2</v>
      </c>
      <c r="J5" s="107" t="s">
        <v>3</v>
      </c>
      <c r="K5" s="107" t="s">
        <v>4</v>
      </c>
    </row>
    <row r="6" spans="1:12" ht="25" x14ac:dyDescent="0.25">
      <c r="A6" s="1" t="str">
        <f>"I. CALIDAD EN EL DESEMPEÑO DOCENTE (700 PUNTOS)"</f>
        <v>I. CALIDAD EN EL DESEMPEÑO DOCENTE (700 PUNTOS)</v>
      </c>
      <c r="B6" s="108"/>
      <c r="C6" s="108"/>
      <c r="D6" s="108"/>
      <c r="E6" s="108"/>
      <c r="F6" s="108"/>
      <c r="G6" s="108"/>
      <c r="H6" s="108"/>
      <c r="I6" s="109"/>
      <c r="J6" s="108"/>
      <c r="K6" s="108"/>
    </row>
    <row r="7" spans="1:12" ht="8.25" customHeight="1" x14ac:dyDescent="0.25">
      <c r="A7" s="47"/>
      <c r="B7" s="110"/>
      <c r="C7" s="110"/>
      <c r="D7" s="110"/>
      <c r="E7" s="110"/>
      <c r="F7" s="110"/>
      <c r="G7" s="110"/>
      <c r="H7" s="110"/>
      <c r="I7" s="111"/>
      <c r="J7" s="110"/>
      <c r="K7" s="110"/>
    </row>
    <row r="8" spans="1:12" ht="23" x14ac:dyDescent="0.25">
      <c r="A8" s="112"/>
      <c r="B8" s="57" t="s">
        <v>5</v>
      </c>
      <c r="C8" s="113"/>
      <c r="D8" s="113"/>
      <c r="E8" s="113"/>
      <c r="F8" s="113"/>
      <c r="G8" s="113"/>
      <c r="H8" s="113"/>
      <c r="I8" s="114"/>
      <c r="J8" s="115"/>
      <c r="K8" s="113"/>
    </row>
    <row r="9" spans="1:12" ht="21" x14ac:dyDescent="0.25">
      <c r="A9" s="112"/>
      <c r="B9" s="112"/>
      <c r="C9" s="329" t="s">
        <v>6</v>
      </c>
      <c r="D9" s="329"/>
      <c r="E9" s="329"/>
      <c r="F9" s="329"/>
      <c r="G9" s="113"/>
      <c r="H9" s="113"/>
      <c r="I9" s="114"/>
      <c r="J9" s="115"/>
      <c r="K9" s="113"/>
    </row>
    <row r="10" spans="1:12" ht="21" x14ac:dyDescent="0.25">
      <c r="A10" s="112"/>
      <c r="B10" s="112"/>
      <c r="C10" s="112"/>
      <c r="D10" s="49" t="s">
        <v>7</v>
      </c>
      <c r="E10" s="116"/>
      <c r="F10" s="117"/>
      <c r="G10" s="118"/>
      <c r="H10" s="119" t="str">
        <f>IF(L10=TRUE,100,"")</f>
        <v/>
      </c>
      <c r="I10" s="120"/>
      <c r="J10" s="121"/>
      <c r="K10" s="112"/>
      <c r="L10" s="185" t="b">
        <v>0</v>
      </c>
    </row>
    <row r="11" spans="1:12" ht="21" x14ac:dyDescent="0.25">
      <c r="A11" s="112"/>
      <c r="B11" s="112"/>
      <c r="C11" s="112"/>
      <c r="D11" s="48" t="s">
        <v>8</v>
      </c>
      <c r="E11" s="122"/>
      <c r="F11" s="123"/>
      <c r="G11" s="118"/>
      <c r="H11" s="119" t="str">
        <f>IF(L11=TRUE,100,"")</f>
        <v/>
      </c>
      <c r="I11" s="120"/>
      <c r="J11" s="121"/>
      <c r="K11" s="112"/>
      <c r="L11" s="185" t="b">
        <v>0</v>
      </c>
    </row>
    <row r="12" spans="1:12" ht="21" x14ac:dyDescent="0.25">
      <c r="A12" s="112"/>
      <c r="B12" s="112"/>
      <c r="C12" s="112"/>
      <c r="D12" s="2" t="s">
        <v>9</v>
      </c>
      <c r="E12" s="122"/>
      <c r="F12" s="123"/>
      <c r="G12" s="118"/>
      <c r="H12" s="119" t="str">
        <f>IF(L12=TRUE,130,"")</f>
        <v/>
      </c>
      <c r="I12" s="120"/>
      <c r="J12" s="121"/>
      <c r="K12" s="112"/>
      <c r="L12" s="185" t="b">
        <v>0</v>
      </c>
    </row>
    <row r="13" spans="1:12" ht="21" x14ac:dyDescent="0.25">
      <c r="A13" s="112"/>
      <c r="B13" s="112"/>
      <c r="C13" s="56" t="s">
        <v>10</v>
      </c>
      <c r="D13" s="124"/>
      <c r="E13" s="124"/>
      <c r="F13" s="124"/>
      <c r="G13" s="125"/>
      <c r="H13" s="119"/>
      <c r="I13" s="126"/>
      <c r="J13" s="127" t="str">
        <f>IF(MAX(H10:H12)=0,"",MAX(H10:H12))</f>
        <v/>
      </c>
      <c r="K13" s="128"/>
    </row>
    <row r="14" spans="1:12" ht="21" x14ac:dyDescent="0.25">
      <c r="A14" s="112"/>
      <c r="B14" s="112"/>
      <c r="C14" s="112"/>
      <c r="D14" s="112"/>
      <c r="E14" s="112"/>
      <c r="F14" s="112"/>
      <c r="G14" s="112"/>
      <c r="H14" s="129"/>
      <c r="I14" s="120"/>
      <c r="J14" s="121"/>
      <c r="K14" s="112"/>
    </row>
    <row r="15" spans="1:12" ht="21" x14ac:dyDescent="0.25">
      <c r="A15" s="112"/>
      <c r="B15" s="112"/>
      <c r="C15" s="330" t="s">
        <v>11</v>
      </c>
      <c r="D15" s="330"/>
      <c r="E15" s="330"/>
      <c r="F15" s="330"/>
      <c r="G15" s="113"/>
      <c r="H15" s="130"/>
      <c r="I15" s="114"/>
      <c r="J15" s="115"/>
      <c r="K15" s="113"/>
    </row>
    <row r="16" spans="1:12" ht="21" x14ac:dyDescent="0.25">
      <c r="A16" s="112"/>
      <c r="B16" s="112"/>
      <c r="C16" s="112"/>
      <c r="D16" s="324" t="s">
        <v>12</v>
      </c>
      <c r="E16" s="324"/>
      <c r="F16" s="324"/>
      <c r="G16" s="324"/>
      <c r="H16" s="119" t="str">
        <f>IF(SUM(E18:E20)=0,"",SUM(E18:E20))</f>
        <v/>
      </c>
      <c r="I16" s="126" t="str">
        <f>IF(H16="","",IF(H16*0.5&gt;30,30,INT(H16*0.5)))</f>
        <v/>
      </c>
      <c r="J16" s="127"/>
      <c r="K16" s="128"/>
    </row>
    <row r="17" spans="1:11" ht="21" x14ac:dyDescent="0.25">
      <c r="A17" s="112"/>
      <c r="B17" s="112"/>
      <c r="C17" s="3"/>
      <c r="D17" s="4" t="s">
        <v>13</v>
      </c>
      <c r="E17" s="4" t="s">
        <v>14</v>
      </c>
      <c r="F17" s="112"/>
      <c r="G17" s="112"/>
      <c r="H17" s="129"/>
      <c r="I17" s="120"/>
      <c r="J17" s="121"/>
      <c r="K17" s="112"/>
    </row>
    <row r="18" spans="1:11" ht="21" x14ac:dyDescent="0.25">
      <c r="A18" s="112"/>
      <c r="B18" s="112"/>
      <c r="C18" s="5">
        <v>1</v>
      </c>
      <c r="D18" s="6"/>
      <c r="E18" s="6"/>
      <c r="F18" s="112"/>
      <c r="G18" s="112"/>
      <c r="H18" s="129"/>
      <c r="I18" s="120"/>
      <c r="J18" s="121"/>
      <c r="K18" s="112"/>
    </row>
    <row r="19" spans="1:11" ht="21" x14ac:dyDescent="0.25">
      <c r="A19" s="112"/>
      <c r="B19" s="112"/>
      <c r="C19" s="5">
        <v>2</v>
      </c>
      <c r="D19" s="6"/>
      <c r="E19" s="6"/>
      <c r="F19" s="112"/>
      <c r="G19" s="112"/>
      <c r="H19" s="129"/>
      <c r="I19" s="120"/>
      <c r="J19" s="121"/>
      <c r="K19" s="112"/>
    </row>
    <row r="20" spans="1:11" ht="21" x14ac:dyDescent="0.25">
      <c r="A20" s="112"/>
      <c r="B20" s="112"/>
      <c r="C20" s="5">
        <v>3</v>
      </c>
      <c r="D20" s="6"/>
      <c r="E20" s="6"/>
      <c r="F20" s="112"/>
      <c r="G20" s="112"/>
      <c r="H20" s="129"/>
      <c r="I20" s="120"/>
      <c r="J20" s="121"/>
      <c r="K20" s="112"/>
    </row>
    <row r="21" spans="1:11" ht="21" x14ac:dyDescent="0.25">
      <c r="A21" s="7"/>
      <c r="B21" s="8"/>
      <c r="C21" s="50"/>
      <c r="D21" s="331" t="s">
        <v>15</v>
      </c>
      <c r="E21" s="331"/>
      <c r="F21" s="331"/>
      <c r="G21" s="332"/>
      <c r="H21" s="119" t="str">
        <f>IF(SUM(E23:E27)=0,"",SUM(E23:E27))</f>
        <v/>
      </c>
      <c r="I21" s="126" t="str">
        <f>IF(H21="","",IF(H21*0.5&gt;15,15,INT(H21*0.5)))</f>
        <v/>
      </c>
      <c r="J21" s="127"/>
      <c r="K21" s="128"/>
    </row>
    <row r="22" spans="1:11" ht="21" x14ac:dyDescent="0.25">
      <c r="A22" s="7"/>
      <c r="B22" s="8"/>
      <c r="C22" s="3"/>
      <c r="D22" s="4" t="s">
        <v>13</v>
      </c>
      <c r="E22" s="4" t="s">
        <v>14</v>
      </c>
      <c r="F22" s="9"/>
      <c r="G22" s="51"/>
      <c r="H22" s="129"/>
      <c r="I22" s="120"/>
      <c r="J22" s="121"/>
      <c r="K22" s="112"/>
    </row>
    <row r="23" spans="1:11" ht="21" x14ac:dyDescent="0.25">
      <c r="A23" s="7"/>
      <c r="B23" s="8"/>
      <c r="C23" s="5">
        <v>1</v>
      </c>
      <c r="D23" s="6"/>
      <c r="E23" s="6"/>
      <c r="F23" s="9"/>
      <c r="G23" s="51"/>
      <c r="H23" s="129"/>
      <c r="I23" s="120"/>
      <c r="J23" s="121"/>
      <c r="K23" s="112"/>
    </row>
    <row r="24" spans="1:11" ht="21" x14ac:dyDescent="0.25">
      <c r="A24" s="7"/>
      <c r="B24" s="8"/>
      <c r="C24" s="5">
        <v>2</v>
      </c>
      <c r="D24" s="6"/>
      <c r="E24" s="6"/>
      <c r="F24" s="9"/>
      <c r="G24" s="9"/>
      <c r="H24" s="129"/>
      <c r="I24" s="120"/>
      <c r="J24" s="121"/>
      <c r="K24" s="112"/>
    </row>
    <row r="25" spans="1:11" ht="21" x14ac:dyDescent="0.25">
      <c r="A25" s="7"/>
      <c r="B25" s="8"/>
      <c r="C25" s="5">
        <v>3</v>
      </c>
      <c r="D25" s="6"/>
      <c r="E25" s="6"/>
      <c r="F25" s="9"/>
      <c r="G25" s="9"/>
      <c r="H25" s="129"/>
      <c r="I25" s="120"/>
      <c r="J25" s="121"/>
      <c r="K25" s="112"/>
    </row>
    <row r="26" spans="1:11" ht="21" x14ac:dyDescent="0.25">
      <c r="A26" s="7"/>
      <c r="B26" s="8"/>
      <c r="C26" s="5">
        <v>4</v>
      </c>
      <c r="D26" s="6"/>
      <c r="E26" s="6"/>
      <c r="F26" s="9"/>
      <c r="G26" s="9"/>
      <c r="H26" s="129"/>
      <c r="I26" s="120"/>
      <c r="J26" s="121"/>
      <c r="K26" s="112"/>
    </row>
    <row r="27" spans="1:11" ht="21" x14ac:dyDescent="0.25">
      <c r="A27" s="7"/>
      <c r="B27" s="8"/>
      <c r="C27" s="5">
        <v>5</v>
      </c>
      <c r="D27" s="6"/>
      <c r="E27" s="6"/>
      <c r="F27" s="9"/>
      <c r="G27" s="52"/>
      <c r="H27" s="129"/>
      <c r="I27" s="120"/>
      <c r="J27" s="121"/>
      <c r="K27" s="112"/>
    </row>
    <row r="28" spans="1:11" ht="36" customHeight="1" x14ac:dyDescent="0.2">
      <c r="A28" s="7"/>
      <c r="B28" s="8"/>
      <c r="C28" s="50"/>
      <c r="D28" s="324" t="s">
        <v>16</v>
      </c>
      <c r="E28" s="324"/>
      <c r="F28" s="324"/>
      <c r="G28" s="325"/>
      <c r="H28" s="131" t="str">
        <f>IF(COUNTA(D30:D34)=0,"",COUNTA(D30:D34))</f>
        <v/>
      </c>
      <c r="I28" s="132" t="str">
        <f>IF(H28="","",IF(H28*3&gt;12,12,H28*3))</f>
        <v/>
      </c>
      <c r="J28" s="133"/>
      <c r="K28" s="134"/>
    </row>
    <row r="29" spans="1:11" ht="21" x14ac:dyDescent="0.25">
      <c r="A29" s="7"/>
      <c r="B29" s="8"/>
      <c r="C29" s="10"/>
      <c r="D29" s="4" t="s">
        <v>17</v>
      </c>
      <c r="E29" s="4" t="s">
        <v>14</v>
      </c>
      <c r="F29" s="9"/>
      <c r="G29" s="53"/>
      <c r="H29" s="135"/>
      <c r="I29" s="120"/>
      <c r="J29" s="121"/>
      <c r="K29" s="112"/>
    </row>
    <row r="30" spans="1:11" ht="21" x14ac:dyDescent="0.25">
      <c r="A30" s="7"/>
      <c r="B30" s="8"/>
      <c r="C30" s="5">
        <v>1</v>
      </c>
      <c r="D30" s="6"/>
      <c r="E30" s="6"/>
      <c r="F30" s="9"/>
      <c r="G30" s="53"/>
      <c r="H30" s="136"/>
      <c r="I30" s="120"/>
      <c r="J30" s="121"/>
      <c r="K30" s="112"/>
    </row>
    <row r="31" spans="1:11" ht="21" x14ac:dyDescent="0.25">
      <c r="A31" s="7"/>
      <c r="B31" s="8"/>
      <c r="C31" s="5">
        <v>2</v>
      </c>
      <c r="D31" s="6"/>
      <c r="E31" s="6"/>
      <c r="F31" s="9"/>
      <c r="G31" s="53"/>
      <c r="H31" s="136"/>
      <c r="I31" s="120"/>
      <c r="J31" s="121"/>
      <c r="K31" s="112"/>
    </row>
    <row r="32" spans="1:11" ht="21" x14ac:dyDescent="0.25">
      <c r="A32" s="7"/>
      <c r="B32" s="8"/>
      <c r="C32" s="5">
        <v>3</v>
      </c>
      <c r="D32" s="6"/>
      <c r="E32" s="6"/>
      <c r="F32" s="9"/>
      <c r="G32" s="53"/>
      <c r="H32" s="136"/>
      <c r="I32" s="120"/>
      <c r="J32" s="121"/>
      <c r="K32" s="112"/>
    </row>
    <row r="33" spans="1:11" ht="21" x14ac:dyDescent="0.25">
      <c r="A33" s="7"/>
      <c r="B33" s="8"/>
      <c r="C33" s="5">
        <v>4</v>
      </c>
      <c r="D33" s="6"/>
      <c r="E33" s="6"/>
      <c r="F33" s="9"/>
      <c r="G33" s="53"/>
      <c r="H33" s="136"/>
      <c r="I33" s="120"/>
      <c r="J33" s="121"/>
      <c r="K33" s="112"/>
    </row>
    <row r="34" spans="1:11" ht="21" x14ac:dyDescent="0.25">
      <c r="A34" s="7"/>
      <c r="B34" s="8"/>
      <c r="C34" s="5">
        <v>5</v>
      </c>
      <c r="D34" s="6"/>
      <c r="E34" s="6"/>
      <c r="F34" s="9"/>
      <c r="G34" s="53"/>
      <c r="H34" s="137"/>
      <c r="I34" s="120"/>
      <c r="J34" s="121"/>
      <c r="K34" s="112"/>
    </row>
    <row r="35" spans="1:11" ht="38.25" customHeight="1" x14ac:dyDescent="0.2">
      <c r="A35" s="7"/>
      <c r="B35" s="8"/>
      <c r="C35" s="50"/>
      <c r="D35" s="324" t="s">
        <v>18</v>
      </c>
      <c r="E35" s="324"/>
      <c r="F35" s="324"/>
      <c r="G35" s="357"/>
      <c r="H35" s="131" t="str">
        <f>IF(COUNTA(D37:D41)=0,"",COUNTA(D37:D41))</f>
        <v/>
      </c>
      <c r="I35" s="132" t="str">
        <f>IF(H35="","",IF(H35*20&gt;40,40,H35*20))</f>
        <v/>
      </c>
      <c r="J35" s="133"/>
      <c r="K35" s="134"/>
    </row>
    <row r="36" spans="1:11" ht="21" x14ac:dyDescent="0.25">
      <c r="A36" s="7"/>
      <c r="B36" s="8"/>
      <c r="C36" s="10"/>
      <c r="D36" s="4" t="s">
        <v>19</v>
      </c>
      <c r="E36" s="4" t="s">
        <v>14</v>
      </c>
      <c r="F36" s="9"/>
      <c r="G36" s="11"/>
      <c r="H36" s="129"/>
      <c r="I36" s="120"/>
      <c r="J36" s="121"/>
      <c r="K36" s="112"/>
    </row>
    <row r="37" spans="1:11" ht="21" x14ac:dyDescent="0.25">
      <c r="A37" s="7"/>
      <c r="B37" s="8"/>
      <c r="C37" s="12">
        <v>1</v>
      </c>
      <c r="D37" s="13"/>
      <c r="E37" s="13"/>
      <c r="F37" s="53"/>
      <c r="G37" s="11"/>
      <c r="H37" s="129"/>
      <c r="I37" s="120"/>
      <c r="J37" s="121"/>
      <c r="K37" s="112"/>
    </row>
    <row r="38" spans="1:11" ht="21" x14ac:dyDescent="0.25">
      <c r="A38" s="7"/>
      <c r="B38" s="8"/>
      <c r="C38" s="12">
        <v>2</v>
      </c>
      <c r="D38" s="13"/>
      <c r="E38" s="13"/>
      <c r="F38" s="53"/>
      <c r="G38" s="11"/>
      <c r="H38" s="129"/>
      <c r="I38" s="120"/>
      <c r="J38" s="121"/>
      <c r="K38" s="112"/>
    </row>
    <row r="39" spans="1:11" ht="21" x14ac:dyDescent="0.25">
      <c r="A39" s="7"/>
      <c r="B39" s="8"/>
      <c r="C39" s="12">
        <v>3</v>
      </c>
      <c r="D39" s="13"/>
      <c r="E39" s="13"/>
      <c r="F39" s="53"/>
      <c r="G39" s="11"/>
      <c r="H39" s="129"/>
      <c r="I39" s="120"/>
      <c r="J39" s="121"/>
      <c r="K39" s="112"/>
    </row>
    <row r="40" spans="1:11" ht="21" x14ac:dyDescent="0.25">
      <c r="A40" s="7"/>
      <c r="B40" s="8"/>
      <c r="C40" s="12">
        <v>4</v>
      </c>
      <c r="D40" s="13"/>
      <c r="E40" s="13"/>
      <c r="F40" s="53"/>
      <c r="G40" s="11"/>
      <c r="H40" s="129"/>
      <c r="I40" s="120"/>
      <c r="J40" s="121"/>
      <c r="K40" s="112"/>
    </row>
    <row r="41" spans="1:11" ht="21" x14ac:dyDescent="0.25">
      <c r="A41" s="7"/>
      <c r="B41" s="8"/>
      <c r="C41" s="14">
        <v>5</v>
      </c>
      <c r="D41" s="15"/>
      <c r="E41" s="15"/>
      <c r="F41" s="53"/>
      <c r="G41" s="11"/>
      <c r="H41" s="129"/>
      <c r="I41" s="120"/>
      <c r="J41" s="121"/>
      <c r="K41" s="112"/>
    </row>
    <row r="42" spans="1:11" ht="21" x14ac:dyDescent="0.25">
      <c r="A42" s="16"/>
      <c r="B42" s="17"/>
      <c r="C42" s="54"/>
      <c r="D42" s="324" t="s">
        <v>20</v>
      </c>
      <c r="E42" s="324"/>
      <c r="F42" s="324"/>
      <c r="G42" s="18" t="s">
        <v>21</v>
      </c>
      <c r="H42" s="130"/>
      <c r="I42" s="114"/>
      <c r="J42" s="115"/>
      <c r="K42" s="113"/>
    </row>
    <row r="43" spans="1:11" ht="21" x14ac:dyDescent="0.25">
      <c r="A43" s="16"/>
      <c r="B43" s="17"/>
      <c r="C43" s="54"/>
      <c r="D43" s="55" t="s">
        <v>22</v>
      </c>
      <c r="E43" s="55"/>
      <c r="F43" s="55"/>
      <c r="G43" s="19"/>
      <c r="H43" s="256"/>
      <c r="I43" s="126" t="str">
        <f>IF(H43="","",IF(INT(H43)*10&gt;250,250,INT(H43)*10))</f>
        <v/>
      </c>
      <c r="J43" s="127"/>
      <c r="K43" s="128"/>
    </row>
    <row r="44" spans="1:11" ht="21" x14ac:dyDescent="0.25">
      <c r="A44" s="16"/>
      <c r="B44" s="17"/>
      <c r="C44" s="54"/>
      <c r="D44" s="55" t="s">
        <v>23</v>
      </c>
      <c r="E44" s="55"/>
      <c r="F44" s="55"/>
      <c r="G44" s="19"/>
      <c r="H44" s="256"/>
      <c r="I44" s="126" t="str">
        <f>IF(H44="","",IF(INT(H44)*15&gt;250,250,INT(H44)*15))</f>
        <v/>
      </c>
      <c r="J44" s="127"/>
      <c r="K44" s="128"/>
    </row>
    <row r="45" spans="1:11" ht="21" x14ac:dyDescent="0.25">
      <c r="A45" s="16"/>
      <c r="B45" s="17"/>
      <c r="C45" s="54"/>
      <c r="D45" s="324" t="s">
        <v>24</v>
      </c>
      <c r="E45" s="324"/>
      <c r="F45" s="324"/>
      <c r="G45" s="18" t="s">
        <v>21</v>
      </c>
      <c r="H45" s="257"/>
      <c r="I45" s="138" t="str">
        <f>IF(H45="","",IF(INT(H45)&gt;5,5,INT(H45)))</f>
        <v/>
      </c>
      <c r="J45" s="139"/>
      <c r="K45" s="140"/>
    </row>
    <row r="46" spans="1:11" ht="21" x14ac:dyDescent="0.25">
      <c r="A46" s="16"/>
      <c r="B46" s="17"/>
      <c r="C46" s="326" t="s">
        <v>25</v>
      </c>
      <c r="D46" s="326"/>
      <c r="E46" s="326"/>
      <c r="F46" s="326"/>
      <c r="G46" s="326"/>
      <c r="H46" s="141"/>
      <c r="I46" s="126"/>
      <c r="J46" s="127" t="str">
        <f>IF(SUM(I43:I45,I35,I28,I21,I16)=0,"",SUM(I43:I45,I35,I28,I21,I16))</f>
        <v/>
      </c>
      <c r="K46" s="128"/>
    </row>
    <row r="47" spans="1:11" ht="5.25" customHeight="1" x14ac:dyDescent="0.25">
      <c r="A47" s="16"/>
      <c r="B47" s="17"/>
      <c r="C47" s="17"/>
      <c r="D47" s="20"/>
      <c r="E47" s="20"/>
      <c r="F47" s="20"/>
      <c r="G47" s="21"/>
      <c r="H47" s="142"/>
      <c r="I47" s="120"/>
      <c r="J47" s="121"/>
      <c r="K47" s="112"/>
    </row>
    <row r="48" spans="1:11" ht="21" x14ac:dyDescent="0.25">
      <c r="A48" s="16"/>
      <c r="B48" s="17"/>
      <c r="C48" s="58" t="s">
        <v>26</v>
      </c>
      <c r="D48" s="55"/>
      <c r="E48" s="55"/>
      <c r="F48" s="55"/>
      <c r="G48" s="59"/>
      <c r="H48" s="141"/>
      <c r="I48" s="126"/>
      <c r="J48" s="127"/>
      <c r="K48" s="128"/>
    </row>
    <row r="49" spans="1:11" ht="21" x14ac:dyDescent="0.25">
      <c r="A49" s="16"/>
      <c r="B49" s="17"/>
      <c r="C49" s="54"/>
      <c r="D49" s="324" t="s">
        <v>27</v>
      </c>
      <c r="E49" s="324"/>
      <c r="F49" s="324"/>
      <c r="G49" s="60" t="s">
        <v>21</v>
      </c>
      <c r="H49" s="141"/>
      <c r="I49" s="126" t="str">
        <f>IF(OR(H50&gt;5,H50&lt;0,H51&gt;5,H51&lt;0),"ERROR",IF(H50&gt;OH548&lt;OH51&gt;OH549&lt;0,"ERROR",IF(H50*2+H51*2=0,"",ROUND(H50,0)*2+ROUND(H51,0)*2)))</f>
        <v/>
      </c>
      <c r="J49" s="127"/>
      <c r="K49" s="128"/>
    </row>
    <row r="50" spans="1:11" ht="21" x14ac:dyDescent="0.25">
      <c r="A50" s="16"/>
      <c r="B50" s="17"/>
      <c r="C50" s="23"/>
      <c r="D50" s="335" t="s">
        <v>28</v>
      </c>
      <c r="E50" s="335"/>
      <c r="F50" s="335"/>
      <c r="G50" s="62"/>
      <c r="H50" s="64"/>
      <c r="I50" s="120"/>
      <c r="J50" s="121"/>
      <c r="K50" s="112"/>
    </row>
    <row r="51" spans="1:11" ht="21" x14ac:dyDescent="0.25">
      <c r="A51" s="16"/>
      <c r="B51" s="17"/>
      <c r="C51" s="23"/>
      <c r="D51" s="335" t="s">
        <v>29</v>
      </c>
      <c r="E51" s="335"/>
      <c r="F51" s="335"/>
      <c r="G51" s="62"/>
      <c r="H51" s="64"/>
      <c r="I51" s="120"/>
      <c r="J51" s="121"/>
      <c r="K51" s="112"/>
    </row>
    <row r="52" spans="1:11" ht="21" x14ac:dyDescent="0.25">
      <c r="A52" s="16"/>
      <c r="B52" s="17"/>
      <c r="C52" s="54"/>
      <c r="D52" s="324" t="s">
        <v>30</v>
      </c>
      <c r="E52" s="324"/>
      <c r="F52" s="324"/>
      <c r="G52" s="60" t="s">
        <v>21</v>
      </c>
      <c r="H52" s="141"/>
      <c r="I52" s="126" t="str">
        <f>IF(OR(H53&gt;5,H53&lt;0,H54&gt;5,H54&lt;0),"ERROR",IF(H53&gt;OH548&lt;OH54&gt;OH549&lt;0,"ERROR",IF(H53+H54=0,"",ROUND(H53,0)+ROUND(H54,0))))</f>
        <v/>
      </c>
      <c r="J52" s="127"/>
      <c r="K52" s="128"/>
    </row>
    <row r="53" spans="1:11" ht="21" x14ac:dyDescent="0.25">
      <c r="A53" s="16"/>
      <c r="B53" s="17"/>
      <c r="C53" s="23"/>
      <c r="D53" s="335" t="s">
        <v>28</v>
      </c>
      <c r="E53" s="335"/>
      <c r="F53" s="335"/>
      <c r="G53" s="62"/>
      <c r="H53" s="64"/>
      <c r="I53" s="120"/>
      <c r="J53" s="121"/>
      <c r="K53" s="112"/>
    </row>
    <row r="54" spans="1:11" ht="21" x14ac:dyDescent="0.25">
      <c r="A54" s="16"/>
      <c r="B54" s="17"/>
      <c r="C54" s="23"/>
      <c r="D54" s="335" t="s">
        <v>29</v>
      </c>
      <c r="E54" s="335"/>
      <c r="F54" s="335"/>
      <c r="G54" s="62"/>
      <c r="H54" s="64"/>
      <c r="I54" s="120"/>
      <c r="J54" s="121"/>
      <c r="K54" s="112"/>
    </row>
    <row r="55" spans="1:11" ht="21" x14ac:dyDescent="0.25">
      <c r="A55" s="16"/>
      <c r="B55" s="17"/>
      <c r="C55" s="54"/>
      <c r="D55" s="336" t="s">
        <v>31</v>
      </c>
      <c r="E55" s="336"/>
      <c r="F55" s="336"/>
      <c r="G55" s="61" t="s">
        <v>32</v>
      </c>
      <c r="H55" s="141"/>
      <c r="I55" s="126" t="str">
        <f>IF(AND(H56&gt;=0.9,H57&gt;=0.9),20,"ERROR")</f>
        <v>ERROR</v>
      </c>
      <c r="J55" s="127"/>
      <c r="K55" s="128"/>
    </row>
    <row r="56" spans="1:11" ht="38.25" customHeight="1" x14ac:dyDescent="0.25">
      <c r="A56" s="16"/>
      <c r="B56" s="17"/>
      <c r="C56" s="23"/>
      <c r="D56" s="335" t="s">
        <v>33</v>
      </c>
      <c r="E56" s="335"/>
      <c r="F56" s="335"/>
      <c r="G56" s="62"/>
      <c r="H56" s="65"/>
      <c r="I56" s="120"/>
      <c r="J56" s="121"/>
      <c r="K56" s="112"/>
    </row>
    <row r="57" spans="1:11" ht="37.5" customHeight="1" x14ac:dyDescent="0.25">
      <c r="A57" s="16"/>
      <c r="B57" s="17"/>
      <c r="C57" s="23"/>
      <c r="D57" s="335" t="s">
        <v>34</v>
      </c>
      <c r="E57" s="335"/>
      <c r="F57" s="335"/>
      <c r="G57" s="62"/>
      <c r="H57" s="65"/>
      <c r="I57" s="120"/>
      <c r="J57" s="121"/>
      <c r="K57" s="112"/>
    </row>
    <row r="58" spans="1:11" ht="21" x14ac:dyDescent="0.25">
      <c r="A58" s="16"/>
      <c r="B58" s="17"/>
      <c r="C58" s="54"/>
      <c r="D58" s="336" t="s">
        <v>35</v>
      </c>
      <c r="E58" s="336"/>
      <c r="F58" s="336"/>
      <c r="G58" s="61" t="s">
        <v>32</v>
      </c>
      <c r="H58" s="255"/>
      <c r="I58" s="126" t="str">
        <f>IF(H58="","",IF(INT(H58)*10&gt;20,20,INT(H58)*10))</f>
        <v/>
      </c>
      <c r="J58" s="127"/>
      <c r="K58" s="128"/>
    </row>
    <row r="59" spans="1:11" ht="21" x14ac:dyDescent="0.25">
      <c r="A59" s="16"/>
      <c r="B59" s="17"/>
      <c r="C59" s="326" t="s">
        <v>36</v>
      </c>
      <c r="D59" s="326"/>
      <c r="E59" s="326"/>
      <c r="F59" s="326"/>
      <c r="G59" s="326"/>
      <c r="H59" s="141"/>
      <c r="I59" s="126"/>
      <c r="J59" s="127" t="str">
        <f>IF(SUM(I58,I55,I52,I49)=0,"",IF(SUM(I58,I55,I52,I49)&gt;50,50,SUM(I58,I55,I52,I49)))</f>
        <v/>
      </c>
      <c r="K59" s="128"/>
    </row>
    <row r="60" spans="1:11" ht="21" x14ac:dyDescent="0.25">
      <c r="A60" s="16"/>
      <c r="B60" s="17"/>
      <c r="C60" s="17"/>
      <c r="D60" s="20"/>
      <c r="E60" s="20"/>
      <c r="F60" s="20"/>
      <c r="G60" s="24"/>
      <c r="H60" s="142"/>
      <c r="I60" s="120"/>
      <c r="J60" s="121"/>
      <c r="K60" s="112"/>
    </row>
    <row r="61" spans="1:11" ht="21" x14ac:dyDescent="0.25">
      <c r="A61" s="16"/>
      <c r="B61" s="17"/>
      <c r="C61" s="22" t="s">
        <v>37</v>
      </c>
      <c r="D61" s="55"/>
      <c r="E61" s="55"/>
      <c r="F61" s="55"/>
      <c r="G61" s="63"/>
      <c r="H61" s="141"/>
      <c r="I61" s="126"/>
      <c r="J61" s="127"/>
      <c r="K61" s="128"/>
    </row>
    <row r="62" spans="1:11" ht="37.5" customHeight="1" x14ac:dyDescent="0.25">
      <c r="A62" s="16"/>
      <c r="B62" s="17"/>
      <c r="C62" s="23"/>
      <c r="D62" s="337" t="s">
        <v>38</v>
      </c>
      <c r="E62" s="337"/>
      <c r="F62" s="337"/>
      <c r="G62" s="25" t="s">
        <v>32</v>
      </c>
      <c r="H62" s="254"/>
      <c r="I62" s="132" t="str">
        <f>IF(H62="","",IF(INT(H62)*20&gt;80,80,INT(H62)*20))</f>
        <v/>
      </c>
      <c r="J62" s="121"/>
      <c r="K62" s="112"/>
    </row>
    <row r="63" spans="1:11" ht="21" x14ac:dyDescent="0.25">
      <c r="A63" s="16"/>
      <c r="B63" s="17"/>
      <c r="C63" s="23"/>
      <c r="D63" s="337" t="s">
        <v>39</v>
      </c>
      <c r="E63" s="337"/>
      <c r="F63" s="337"/>
      <c r="G63" s="25" t="s">
        <v>32</v>
      </c>
      <c r="H63" s="255"/>
      <c r="I63" s="126" t="str">
        <f>IF(H63="","",IF(INT(H63)*20&gt;80,80,INT(H63)*20))</f>
        <v/>
      </c>
      <c r="J63" s="121"/>
      <c r="K63" s="112"/>
    </row>
    <row r="64" spans="1:11" ht="21" x14ac:dyDescent="0.25">
      <c r="A64" s="16"/>
      <c r="B64" s="17"/>
      <c r="C64" s="23"/>
      <c r="D64" s="337" t="s">
        <v>40</v>
      </c>
      <c r="E64" s="337"/>
      <c r="F64" s="337"/>
      <c r="G64" s="25" t="s">
        <v>32</v>
      </c>
      <c r="H64" s="255"/>
      <c r="I64" s="126" t="str">
        <f>IF(H64="","",IF(INT(H64)*20&gt;80,80,INT(H64)*20))</f>
        <v/>
      </c>
      <c r="J64" s="121"/>
      <c r="K64" s="112"/>
    </row>
    <row r="65" spans="1:11" ht="21" x14ac:dyDescent="0.25">
      <c r="A65" s="16"/>
      <c r="B65" s="17"/>
      <c r="C65" s="23"/>
      <c r="D65" s="335" t="s">
        <v>41</v>
      </c>
      <c r="E65" s="335"/>
      <c r="F65" s="335"/>
      <c r="G65" s="26" t="s">
        <v>21</v>
      </c>
      <c r="H65" s="258"/>
      <c r="I65" s="126" t="str">
        <f>IF(H65="","",IF(INT(H65)&gt;20,20,INT(H65)))</f>
        <v/>
      </c>
      <c r="J65" s="121"/>
      <c r="K65" s="112"/>
    </row>
    <row r="66" spans="1:11" ht="21" x14ac:dyDescent="0.25">
      <c r="A66" s="16"/>
      <c r="B66" s="17"/>
      <c r="C66" s="326" t="s">
        <v>42</v>
      </c>
      <c r="D66" s="326"/>
      <c r="E66" s="326"/>
      <c r="F66" s="326"/>
      <c r="G66" s="326"/>
      <c r="H66" s="119"/>
      <c r="I66" s="126"/>
      <c r="J66" s="127" t="str">
        <f>IF(SUM(I62:I65)=0,"",IF(SUM(I62:I65)&gt;80,80,SUM(I62:I65)))</f>
        <v/>
      </c>
      <c r="K66" s="128"/>
    </row>
    <row r="67" spans="1:11" ht="21" x14ac:dyDescent="0.25">
      <c r="A67" s="16"/>
      <c r="B67" s="17"/>
      <c r="C67" s="17"/>
      <c r="D67" s="20"/>
      <c r="E67" s="20"/>
      <c r="F67" s="20"/>
      <c r="G67" s="24"/>
      <c r="H67" s="129"/>
      <c r="I67" s="120"/>
      <c r="J67" s="121"/>
      <c r="K67" s="112"/>
    </row>
    <row r="68" spans="1:11" ht="24" x14ac:dyDescent="0.3">
      <c r="A68" s="27"/>
      <c r="B68" s="358" t="s">
        <v>43</v>
      </c>
      <c r="C68" s="358"/>
      <c r="D68" s="358"/>
      <c r="E68" s="358"/>
      <c r="F68" s="358"/>
      <c r="G68" s="358"/>
      <c r="H68" s="358"/>
      <c r="I68" s="358"/>
      <c r="J68" s="359"/>
      <c r="K68" s="143">
        <f>IF(SUM(J66,J59,J46,J13)&gt;250,250,SUM(J66,J59,J46,J13))</f>
        <v>0</v>
      </c>
    </row>
    <row r="69" spans="1:11" ht="6" customHeight="1" x14ac:dyDescent="0.2">
      <c r="A69" s="28"/>
      <c r="B69" s="29"/>
      <c r="C69" s="29"/>
      <c r="D69" s="30"/>
      <c r="E69" s="30"/>
      <c r="F69" s="30"/>
      <c r="G69" s="87"/>
      <c r="H69" s="144"/>
      <c r="I69" s="144"/>
      <c r="J69" s="144"/>
      <c r="K69" s="144"/>
    </row>
    <row r="70" spans="1:11" ht="23" x14ac:dyDescent="0.25">
      <c r="A70" s="32"/>
      <c r="B70" s="340" t="s">
        <v>44</v>
      </c>
      <c r="C70" s="340"/>
      <c r="D70" s="340"/>
      <c r="E70" s="340"/>
      <c r="F70" s="340"/>
      <c r="G70" s="68"/>
      <c r="H70" s="145"/>
      <c r="I70" s="146"/>
      <c r="J70" s="147"/>
      <c r="K70" s="148"/>
    </row>
    <row r="71" spans="1:11" ht="20" x14ac:dyDescent="0.25">
      <c r="A71" s="16"/>
      <c r="B71" s="33"/>
      <c r="C71" s="339" t="s">
        <v>45</v>
      </c>
      <c r="D71" s="339"/>
      <c r="E71" s="339"/>
      <c r="F71" s="339"/>
      <c r="G71" s="69"/>
      <c r="H71" s="149"/>
      <c r="I71" s="150"/>
      <c r="J71" s="72" t="str">
        <f>IF(SUM(I72:I73)=0,"",IF(SUM(I72:I73)&gt;125,125,SUM(I72:I73)))</f>
        <v/>
      </c>
      <c r="K71" s="151"/>
    </row>
    <row r="72" spans="1:11" ht="21" x14ac:dyDescent="0.25">
      <c r="A72" s="16"/>
      <c r="B72" s="33"/>
      <c r="C72" s="76"/>
      <c r="D72" s="338" t="s">
        <v>46</v>
      </c>
      <c r="E72" s="338"/>
      <c r="F72" s="338"/>
      <c r="G72" s="77" t="s">
        <v>21</v>
      </c>
      <c r="H72" s="255"/>
      <c r="I72" s="71" t="str">
        <f>IF(H72="","",IF(INT(H72)*20&gt;125,125,INT(H72)*20))</f>
        <v/>
      </c>
      <c r="J72" s="152"/>
      <c r="K72" s="153"/>
    </row>
    <row r="73" spans="1:11" ht="21" x14ac:dyDescent="0.25">
      <c r="A73" s="16"/>
      <c r="B73" s="33"/>
      <c r="C73" s="76"/>
      <c r="D73" s="338" t="s">
        <v>47</v>
      </c>
      <c r="E73" s="338"/>
      <c r="F73" s="338"/>
      <c r="G73" s="77" t="s">
        <v>21</v>
      </c>
      <c r="H73" s="255"/>
      <c r="I73" s="71" t="str">
        <f>IF(H73="","",IF(INT(H73)*35&gt;125,125,INT(H73)*35))</f>
        <v/>
      </c>
      <c r="J73" s="154"/>
      <c r="K73" s="155"/>
    </row>
    <row r="74" spans="1:11" ht="20" x14ac:dyDescent="0.25">
      <c r="A74" s="16"/>
      <c r="B74" s="33"/>
      <c r="C74" s="339" t="s">
        <v>48</v>
      </c>
      <c r="D74" s="339"/>
      <c r="E74" s="339"/>
      <c r="F74" s="339"/>
      <c r="G74" s="66" t="s">
        <v>21</v>
      </c>
      <c r="H74" s="255"/>
      <c r="I74" s="150"/>
      <c r="J74" s="72" t="str">
        <f>IF(H74="","",IF(INT(H74)*20&gt;125,125,INT(H74)*20))</f>
        <v/>
      </c>
      <c r="K74" s="151"/>
    </row>
    <row r="75" spans="1:11" ht="20" x14ac:dyDescent="0.25">
      <c r="A75" s="16"/>
      <c r="B75" s="33"/>
      <c r="C75" s="339" t="s">
        <v>49</v>
      </c>
      <c r="D75" s="339"/>
      <c r="E75" s="339"/>
      <c r="F75" s="339"/>
      <c r="G75" s="67"/>
      <c r="H75" s="255"/>
      <c r="I75" s="150"/>
      <c r="J75" s="72" t="str">
        <f>IF(H75="","",IF(INT(H75)*4&gt;125,125,INT(H75)*4))</f>
        <v/>
      </c>
      <c r="K75" s="151"/>
    </row>
    <row r="76" spans="1:11" ht="39" customHeight="1" x14ac:dyDescent="0.2">
      <c r="A76" s="16"/>
      <c r="B76" s="33"/>
      <c r="C76" s="339" t="s">
        <v>50</v>
      </c>
      <c r="D76" s="339"/>
      <c r="E76" s="339"/>
      <c r="F76" s="339"/>
      <c r="G76" s="66" t="s">
        <v>21</v>
      </c>
      <c r="H76" s="259"/>
      <c r="I76" s="156"/>
      <c r="J76" s="73" t="str">
        <f>IF(H76="","",IF(INT(H76)*10&gt;125,125,INT(H76)*10))</f>
        <v/>
      </c>
      <c r="K76" s="151"/>
    </row>
    <row r="77" spans="1:11" ht="38.25" customHeight="1" x14ac:dyDescent="0.2">
      <c r="A77" s="16"/>
      <c r="B77" s="33"/>
      <c r="C77" s="339" t="s">
        <v>51</v>
      </c>
      <c r="D77" s="339"/>
      <c r="E77" s="339"/>
      <c r="F77" s="339"/>
      <c r="G77" s="66" t="s">
        <v>21</v>
      </c>
      <c r="H77" s="259"/>
      <c r="I77" s="156"/>
      <c r="J77" s="73" t="str">
        <f>IF(H77="","",IF(INT(H77)*25&gt;50,50,INT(H77)*25))</f>
        <v/>
      </c>
      <c r="K77" s="151"/>
    </row>
    <row r="78" spans="1:11" ht="20" x14ac:dyDescent="0.25">
      <c r="A78" s="16"/>
      <c r="B78" s="35"/>
      <c r="C78" s="339" t="s">
        <v>52</v>
      </c>
      <c r="D78" s="339"/>
      <c r="E78" s="339"/>
      <c r="F78" s="339"/>
      <c r="G78" s="67"/>
      <c r="H78" s="149"/>
      <c r="I78" s="150"/>
      <c r="J78" s="72" t="str">
        <f>IF(SUM(I79:I80)=0,"",IF(SUM(I79:I80)&gt;125,125,SUM(I79:I80)))</f>
        <v/>
      </c>
      <c r="K78" s="151"/>
    </row>
    <row r="79" spans="1:11" ht="21" x14ac:dyDescent="0.25">
      <c r="A79" s="16"/>
      <c r="B79" s="35"/>
      <c r="C79" s="76"/>
      <c r="D79" s="338" t="s">
        <v>53</v>
      </c>
      <c r="E79" s="338"/>
      <c r="F79" s="338"/>
      <c r="G79" s="78"/>
      <c r="H79" s="255"/>
      <c r="I79" s="71" t="str">
        <f>IF(H79="","",IF(INT(H79)*15&gt;60,60,INT(H79)*15))</f>
        <v/>
      </c>
      <c r="J79" s="152"/>
      <c r="K79" s="153"/>
    </row>
    <row r="80" spans="1:11" ht="21" x14ac:dyDescent="0.25">
      <c r="A80" s="16"/>
      <c r="B80" s="35"/>
      <c r="C80" s="76"/>
      <c r="D80" s="338" t="s">
        <v>54</v>
      </c>
      <c r="E80" s="338"/>
      <c r="F80" s="338"/>
      <c r="G80" s="78"/>
      <c r="H80" s="255"/>
      <c r="I80" s="71" t="str">
        <f>IF(H80="","",IF(INT(H80)*20&gt;80,80,INT(H80)*20))</f>
        <v/>
      </c>
      <c r="J80" s="154"/>
      <c r="K80" s="155"/>
    </row>
    <row r="81" spans="1:11" ht="20" x14ac:dyDescent="0.25">
      <c r="A81" s="16"/>
      <c r="B81" s="35"/>
      <c r="C81" s="342" t="s">
        <v>55</v>
      </c>
      <c r="D81" s="342"/>
      <c r="E81" s="342"/>
      <c r="F81" s="342"/>
      <c r="G81" s="67"/>
      <c r="H81" s="149"/>
      <c r="I81" s="150"/>
      <c r="J81" s="72" t="str">
        <f>IF(SUM(I82:I84)=0,"",IF(SUM(I82:I84)&gt;125,125,SUM(I82:I84)))</f>
        <v/>
      </c>
      <c r="K81" s="151"/>
    </row>
    <row r="82" spans="1:11" ht="21" x14ac:dyDescent="0.25">
      <c r="A82" s="16"/>
      <c r="B82" s="35"/>
      <c r="C82" s="76"/>
      <c r="D82" s="42" t="s">
        <v>56</v>
      </c>
      <c r="E82" s="42"/>
      <c r="F82" s="42"/>
      <c r="G82" s="78"/>
      <c r="H82" s="255"/>
      <c r="I82" s="71" t="str">
        <f>IF(H82="","",IF(INT(H82)*150&gt;150,150,INT(H82)*150))</f>
        <v/>
      </c>
      <c r="J82" s="152"/>
      <c r="K82" s="153"/>
    </row>
    <row r="83" spans="1:11" ht="21" x14ac:dyDescent="0.25">
      <c r="A83" s="16"/>
      <c r="B83" s="35"/>
      <c r="C83" s="76"/>
      <c r="D83" s="42" t="s">
        <v>229</v>
      </c>
      <c r="E83" s="42"/>
      <c r="F83" s="42"/>
      <c r="G83" s="78"/>
      <c r="H83" s="255"/>
      <c r="I83" s="71" t="str">
        <f>IF(H83="","",IF(INT(H83)*20&gt;125,125,INT(H83)*20))</f>
        <v/>
      </c>
      <c r="J83" s="157"/>
      <c r="K83" s="158"/>
    </row>
    <row r="84" spans="1:11" ht="21" x14ac:dyDescent="0.25">
      <c r="A84" s="16"/>
      <c r="B84" s="35"/>
      <c r="C84" s="76"/>
      <c r="D84" s="341" t="s">
        <v>57</v>
      </c>
      <c r="E84" s="341"/>
      <c r="F84" s="341"/>
      <c r="G84" s="78"/>
      <c r="H84" s="255"/>
      <c r="I84" s="71" t="str">
        <f>IF(H84="","",IF(INT(H84)*15&gt;125,125,INT(H84)*15))</f>
        <v/>
      </c>
      <c r="J84" s="154"/>
      <c r="K84" s="155"/>
    </row>
    <row r="85" spans="1:11" ht="20" x14ac:dyDescent="0.25">
      <c r="A85" s="16"/>
      <c r="B85" s="35"/>
      <c r="C85" s="342" t="s">
        <v>58</v>
      </c>
      <c r="D85" s="342"/>
      <c r="E85" s="342"/>
      <c r="F85" s="342"/>
      <c r="G85" s="67"/>
      <c r="H85" s="149"/>
      <c r="I85" s="150"/>
      <c r="J85" s="72" t="str">
        <f>IF(SUM(I86:I87)=0,"",IF(SUM(I86:I87)&gt;125,125,SUM(I86:I87)))</f>
        <v/>
      </c>
      <c r="K85" s="151"/>
    </row>
    <row r="86" spans="1:11" ht="21" x14ac:dyDescent="0.25">
      <c r="A86" s="16"/>
      <c r="B86" s="35"/>
      <c r="C86" s="76"/>
      <c r="D86" s="341" t="s">
        <v>59</v>
      </c>
      <c r="E86" s="341"/>
      <c r="F86" s="341"/>
      <c r="G86" s="78"/>
      <c r="H86" s="255"/>
      <c r="I86" s="71" t="str">
        <f>IF(H86="","",IF(INT(H86)*100&gt;125,125,INT(H86)*100))</f>
        <v/>
      </c>
      <c r="J86" s="152"/>
      <c r="K86" s="153"/>
    </row>
    <row r="87" spans="1:11" ht="21" x14ac:dyDescent="0.25">
      <c r="A87" s="16"/>
      <c r="B87" s="35"/>
      <c r="C87" s="76"/>
      <c r="D87" s="341" t="s">
        <v>60</v>
      </c>
      <c r="E87" s="341"/>
      <c r="F87" s="341"/>
      <c r="G87" s="78"/>
      <c r="H87" s="255"/>
      <c r="I87" s="71" t="str">
        <f>IF(H87="","",IF(INT(H87)*50&gt;125,125,INT(H87)*50))</f>
        <v/>
      </c>
      <c r="J87" s="154"/>
      <c r="K87" s="155"/>
    </row>
    <row r="88" spans="1:11" ht="20" x14ac:dyDescent="0.25">
      <c r="A88" s="16"/>
      <c r="B88" s="35"/>
      <c r="C88" s="342" t="s">
        <v>61</v>
      </c>
      <c r="D88" s="342"/>
      <c r="E88" s="342"/>
      <c r="F88" s="342"/>
      <c r="G88" s="67"/>
      <c r="H88" s="149"/>
      <c r="I88" s="150"/>
      <c r="J88" s="72" t="str">
        <f>IF(SUM(I89:I90)=0,"",IF(SUM(I89:I90)&gt;125,125,SUM(I89:I90)))</f>
        <v/>
      </c>
      <c r="K88" s="151"/>
    </row>
    <row r="89" spans="1:11" ht="21" x14ac:dyDescent="0.25">
      <c r="A89" s="16"/>
      <c r="B89" s="35"/>
      <c r="C89" s="76"/>
      <c r="D89" s="341" t="s">
        <v>62</v>
      </c>
      <c r="E89" s="341"/>
      <c r="F89" s="341"/>
      <c r="G89" s="78"/>
      <c r="H89" s="255"/>
      <c r="I89" s="71" t="str">
        <f>IF(H89="","",IF(INT(H89)*25&gt;125,125,INT(H89)*25))</f>
        <v/>
      </c>
      <c r="J89" s="152"/>
      <c r="K89" s="153"/>
    </row>
    <row r="90" spans="1:11" ht="21" x14ac:dyDescent="0.25">
      <c r="A90" s="16"/>
      <c r="B90" s="35"/>
      <c r="C90" s="76"/>
      <c r="D90" s="341" t="s">
        <v>63</v>
      </c>
      <c r="E90" s="341"/>
      <c r="F90" s="341"/>
      <c r="G90" s="78"/>
      <c r="H90" s="255"/>
      <c r="I90" s="71" t="str">
        <f>IF(H90="","",IF(INT(H90)*15&gt;125,125,INT(H90)*15))</f>
        <v/>
      </c>
      <c r="J90" s="154"/>
      <c r="K90" s="155"/>
    </row>
    <row r="91" spans="1:11" ht="20" x14ac:dyDescent="0.2">
      <c r="A91" s="16"/>
      <c r="B91" s="35"/>
      <c r="C91" s="342" t="s">
        <v>64</v>
      </c>
      <c r="D91" s="342"/>
      <c r="E91" s="342"/>
      <c r="F91" s="342"/>
      <c r="G91" s="67"/>
      <c r="H91" s="255"/>
      <c r="I91" s="71"/>
      <c r="J91" s="72" t="str">
        <f>IF(H91="","",IF(INT(H91)*15&gt;125,125,INT(H91)*15))</f>
        <v/>
      </c>
      <c r="K91" s="151"/>
    </row>
    <row r="92" spans="1:11" ht="20" x14ac:dyDescent="0.2">
      <c r="A92" s="16"/>
      <c r="B92" s="35"/>
      <c r="C92" s="342" t="s">
        <v>65</v>
      </c>
      <c r="D92" s="342"/>
      <c r="E92" s="342"/>
      <c r="F92" s="342"/>
      <c r="G92" s="67"/>
      <c r="H92" s="255"/>
      <c r="I92" s="71"/>
      <c r="J92" s="72" t="str">
        <f>IF(H92="","",IF(INT(H92)*5&gt;25,25,INT(H92)*5))</f>
        <v/>
      </c>
      <c r="K92" s="151"/>
    </row>
    <row r="93" spans="1:11" ht="20" x14ac:dyDescent="0.25">
      <c r="A93" s="16"/>
      <c r="B93" s="35"/>
      <c r="C93" s="342" t="s">
        <v>66</v>
      </c>
      <c r="D93" s="342"/>
      <c r="E93" s="342"/>
      <c r="F93" s="342"/>
      <c r="G93" s="67"/>
      <c r="H93" s="149"/>
      <c r="I93" s="150"/>
      <c r="J93" s="72" t="str">
        <f>IF(SUM(I94:I95)=0,"",IF(SUM(I94:I95)&gt;125,125,SUM(I94:I95)))</f>
        <v/>
      </c>
      <c r="K93" s="151"/>
    </row>
    <row r="94" spans="1:11" ht="21" x14ac:dyDescent="0.25">
      <c r="A94" s="16"/>
      <c r="B94" s="35"/>
      <c r="C94" s="76"/>
      <c r="D94" s="341" t="s">
        <v>67</v>
      </c>
      <c r="E94" s="341"/>
      <c r="F94" s="341"/>
      <c r="G94" s="78"/>
      <c r="H94" s="255"/>
      <c r="I94" s="71" t="str">
        <f>IF(H94="","",IF(INT(H94)*10&gt;20,20,INT(H94)*10))</f>
        <v/>
      </c>
      <c r="J94" s="152"/>
      <c r="K94" s="153"/>
    </row>
    <row r="95" spans="1:11" ht="21" x14ac:dyDescent="0.25">
      <c r="A95" s="16"/>
      <c r="B95" s="35"/>
      <c r="C95" s="76"/>
      <c r="D95" s="341" t="s">
        <v>68</v>
      </c>
      <c r="E95" s="341"/>
      <c r="F95" s="341"/>
      <c r="G95" s="78"/>
      <c r="H95" s="255"/>
      <c r="I95" s="71" t="str">
        <f>IF(H95="","",IF(INT(H95)*15&gt;30,30,INT(H95)*15))</f>
        <v/>
      </c>
      <c r="J95" s="154"/>
      <c r="K95" s="155"/>
    </row>
    <row r="96" spans="1:11" ht="20" x14ac:dyDescent="0.25">
      <c r="A96" s="16"/>
      <c r="B96" s="35"/>
      <c r="C96" s="342" t="s">
        <v>69</v>
      </c>
      <c r="D96" s="342"/>
      <c r="E96" s="342"/>
      <c r="F96" s="342"/>
      <c r="G96" s="67"/>
      <c r="H96" s="149"/>
      <c r="I96" s="150"/>
      <c r="J96" s="72" t="str">
        <f>IF(SUM(I97:I98)=0,"",IF(SUM(I97:I98)&gt;125,125,SUM(I97:I98)))</f>
        <v/>
      </c>
      <c r="K96" s="151"/>
    </row>
    <row r="97" spans="1:11" ht="21" x14ac:dyDescent="0.25">
      <c r="A97" s="16"/>
      <c r="B97" s="35"/>
      <c r="C97" s="76"/>
      <c r="D97" s="341" t="s">
        <v>70</v>
      </c>
      <c r="E97" s="341"/>
      <c r="F97" s="341"/>
      <c r="G97" s="78"/>
      <c r="H97" s="255"/>
      <c r="I97" s="71" t="str">
        <f>IF(H97="","",IF(INT(H97)*20&gt;40,40,INT(H97)*20))</f>
        <v/>
      </c>
      <c r="J97" s="152"/>
      <c r="K97" s="153"/>
    </row>
    <row r="98" spans="1:11" ht="21" x14ac:dyDescent="0.25">
      <c r="A98" s="16"/>
      <c r="B98" s="35"/>
      <c r="C98" s="76"/>
      <c r="D98" s="341" t="s">
        <v>71</v>
      </c>
      <c r="E98" s="341"/>
      <c r="F98" s="341"/>
      <c r="G98" s="78"/>
      <c r="H98" s="255"/>
      <c r="I98" s="71" t="str">
        <f>IF(H98="","",IF(INT(H98)*30&gt;60,60,INT(H98)*30))</f>
        <v/>
      </c>
      <c r="J98" s="154"/>
      <c r="K98" s="155"/>
    </row>
    <row r="99" spans="1:11" ht="48.75" customHeight="1" x14ac:dyDescent="0.2">
      <c r="A99" s="16"/>
      <c r="B99" s="37"/>
      <c r="C99" s="343" t="s">
        <v>72</v>
      </c>
      <c r="D99" s="343"/>
      <c r="E99" s="343"/>
      <c r="F99" s="343"/>
      <c r="G99" s="159" t="s">
        <v>21</v>
      </c>
      <c r="H99" s="70" t="str">
        <f>IF(COUNTA(G101:G103)=0,"",COUNTA(G101:G103))</f>
        <v/>
      </c>
      <c r="I99" s="156"/>
      <c r="J99" s="73" t="str">
        <f>IF(H99="","",IF(H99*40&gt;80,80,H99*40))</f>
        <v/>
      </c>
      <c r="K99" s="151"/>
    </row>
    <row r="100" spans="1:11" ht="28.5" customHeight="1" x14ac:dyDescent="0.25">
      <c r="A100" s="16"/>
      <c r="B100" s="17"/>
      <c r="C100" s="344" t="s">
        <v>73</v>
      </c>
      <c r="D100" s="344"/>
      <c r="E100" s="345" t="s">
        <v>74</v>
      </c>
      <c r="F100" s="345"/>
      <c r="G100" s="38" t="str">
        <f>'[2]1. CALIDAD'!G98</f>
        <v>Fecha</v>
      </c>
      <c r="H100" s="160"/>
      <c r="I100" s="120"/>
      <c r="J100" s="121"/>
      <c r="K100" s="112"/>
    </row>
    <row r="101" spans="1:11" ht="30" customHeight="1" x14ac:dyDescent="0.25">
      <c r="A101" s="16"/>
      <c r="B101" s="17"/>
      <c r="C101" s="346"/>
      <c r="D101" s="346"/>
      <c r="E101" s="347"/>
      <c r="F101" s="347"/>
      <c r="G101" s="184"/>
      <c r="H101" s="160"/>
      <c r="I101" s="120"/>
      <c r="J101" s="121"/>
      <c r="K101" s="112"/>
    </row>
    <row r="102" spans="1:11" ht="30" customHeight="1" x14ac:dyDescent="0.25">
      <c r="A102" s="16"/>
      <c r="B102" s="17"/>
      <c r="C102" s="346"/>
      <c r="D102" s="346"/>
      <c r="E102" s="347"/>
      <c r="F102" s="347"/>
      <c r="G102" s="184"/>
      <c r="H102" s="160"/>
      <c r="I102" s="120"/>
      <c r="J102" s="121"/>
      <c r="K102" s="112"/>
    </row>
    <row r="103" spans="1:11" ht="30" customHeight="1" x14ac:dyDescent="0.25">
      <c r="A103" s="16"/>
      <c r="B103" s="17"/>
      <c r="C103" s="346"/>
      <c r="D103" s="346"/>
      <c r="E103" s="347"/>
      <c r="F103" s="347"/>
      <c r="G103" s="184"/>
      <c r="H103" s="160"/>
      <c r="I103" s="120"/>
      <c r="J103" s="121"/>
      <c r="K103" s="112"/>
    </row>
    <row r="104" spans="1:11" ht="39" customHeight="1" x14ac:dyDescent="0.25">
      <c r="A104" s="16"/>
      <c r="B104" s="17"/>
      <c r="C104" s="349" t="s">
        <v>75</v>
      </c>
      <c r="D104" s="349"/>
      <c r="E104" s="349"/>
      <c r="F104" s="349"/>
      <c r="G104" s="66" t="s">
        <v>21</v>
      </c>
      <c r="H104" s="149"/>
      <c r="I104" s="161"/>
      <c r="J104" s="73" t="str">
        <f>IF(SUM(I105:I107)=0,"",IF(SUM(I105:I107)&gt;125,125,SUM(I105:I107)))</f>
        <v/>
      </c>
      <c r="K104" s="151"/>
    </row>
    <row r="105" spans="1:11" ht="21" x14ac:dyDescent="0.25">
      <c r="A105" s="16"/>
      <c r="B105" s="17"/>
      <c r="C105" s="36"/>
      <c r="D105" s="349" t="s">
        <v>76</v>
      </c>
      <c r="E105" s="349"/>
      <c r="F105" s="349"/>
      <c r="G105" s="67"/>
      <c r="H105" s="255"/>
      <c r="I105" s="71" t="str">
        <f>IF(H105="","",IF(INT(H105)*3&gt;24,24,INT(H105)*3))</f>
        <v/>
      </c>
      <c r="J105" s="162"/>
      <c r="K105" s="153"/>
    </row>
    <row r="106" spans="1:11" ht="21" x14ac:dyDescent="0.25">
      <c r="A106" s="16"/>
      <c r="B106" s="17"/>
      <c r="C106" s="34"/>
      <c r="D106" s="349" t="s">
        <v>77</v>
      </c>
      <c r="E106" s="349"/>
      <c r="F106" s="349"/>
      <c r="G106" s="67"/>
      <c r="H106" s="255"/>
      <c r="I106" s="71" t="str">
        <f>IF(H106="","",IF(INT(H106)*7&gt;28,28,INT(H106)*7))</f>
        <v/>
      </c>
      <c r="J106" s="163"/>
      <c r="K106" s="158"/>
    </row>
    <row r="107" spans="1:11" ht="21" x14ac:dyDescent="0.25">
      <c r="A107" s="16"/>
      <c r="B107" s="17"/>
      <c r="C107" s="34"/>
      <c r="D107" s="349" t="s">
        <v>78</v>
      </c>
      <c r="E107" s="349"/>
      <c r="F107" s="349"/>
      <c r="G107" s="67"/>
      <c r="H107" s="255"/>
      <c r="I107" s="71" t="str">
        <f>IF(H107="","",IF(INT(H107)*12&gt;24,24,INT(H107)*12))</f>
        <v/>
      </c>
      <c r="J107" s="164"/>
      <c r="K107" s="155"/>
    </row>
    <row r="108" spans="1:11" ht="20" x14ac:dyDescent="0.25">
      <c r="A108" s="16"/>
      <c r="B108" s="17"/>
      <c r="C108" s="349" t="s">
        <v>79</v>
      </c>
      <c r="D108" s="349"/>
      <c r="E108" s="349"/>
      <c r="F108" s="349"/>
      <c r="G108" s="67"/>
      <c r="H108" s="149"/>
      <c r="I108" s="161"/>
      <c r="J108" s="72" t="str">
        <f>IF(SUM(I109:I111)=0,"",IF(SUM(I109:I111)&gt;125,125,SUM(I109:I111)))</f>
        <v/>
      </c>
      <c r="K108" s="151"/>
    </row>
    <row r="109" spans="1:11" ht="21" x14ac:dyDescent="0.25">
      <c r="A109" s="16"/>
      <c r="B109" s="17"/>
      <c r="C109" s="34"/>
      <c r="D109" s="349" t="s">
        <v>80</v>
      </c>
      <c r="E109" s="349"/>
      <c r="F109" s="349"/>
      <c r="G109" s="67"/>
      <c r="H109" s="255"/>
      <c r="I109" s="71" t="str">
        <f>IF(H109="","",IF(INT(H109)*15&gt;15,15,INT(H109)*15))</f>
        <v/>
      </c>
      <c r="J109" s="162"/>
      <c r="K109" s="153"/>
    </row>
    <row r="110" spans="1:11" ht="21" x14ac:dyDescent="0.25">
      <c r="A110" s="16"/>
      <c r="B110" s="17"/>
      <c r="C110" s="34"/>
      <c r="D110" s="349" t="s">
        <v>81</v>
      </c>
      <c r="E110" s="349"/>
      <c r="F110" s="349"/>
      <c r="G110" s="67"/>
      <c r="H110" s="255"/>
      <c r="I110" s="71" t="str">
        <f>IF(H110="","",IF(INT(H110)*25&gt;25,25,INT(H110)*25))</f>
        <v/>
      </c>
      <c r="J110" s="163"/>
      <c r="K110" s="158"/>
    </row>
    <row r="111" spans="1:11" ht="21" x14ac:dyDescent="0.25">
      <c r="A111" s="16"/>
      <c r="B111" s="17"/>
      <c r="C111" s="34"/>
      <c r="D111" s="349" t="s">
        <v>82</v>
      </c>
      <c r="E111" s="349"/>
      <c r="F111" s="349"/>
      <c r="G111" s="67"/>
      <c r="H111" s="255"/>
      <c r="I111" s="71" t="str">
        <f>IF(H111="","",IF(INT(H111)*35&gt;35,35,INT(H111)*35))</f>
        <v/>
      </c>
      <c r="J111" s="164"/>
      <c r="K111" s="155"/>
    </row>
    <row r="112" spans="1:11" ht="38.25" customHeight="1" x14ac:dyDescent="0.25">
      <c r="A112" s="16"/>
      <c r="B112" s="17"/>
      <c r="C112" s="352" t="s">
        <v>83</v>
      </c>
      <c r="D112" s="352"/>
      <c r="E112" s="352"/>
      <c r="F112" s="352"/>
      <c r="G112" s="74" t="s">
        <v>21</v>
      </c>
      <c r="H112" s="259"/>
      <c r="I112" s="165"/>
      <c r="J112" s="75" t="str">
        <f>IF(H112="","",IF(INT(H112)*5&gt;25,25,INT(H112)*5))</f>
        <v/>
      </c>
      <c r="K112" s="151"/>
    </row>
    <row r="113" spans="1:11" ht="24" x14ac:dyDescent="0.3">
      <c r="A113" s="39"/>
      <c r="B113" s="360" t="s">
        <v>84</v>
      </c>
      <c r="C113" s="360"/>
      <c r="D113" s="360"/>
      <c r="E113" s="360"/>
      <c r="F113" s="360"/>
      <c r="G113" s="360"/>
      <c r="H113" s="360"/>
      <c r="I113" s="360"/>
      <c r="J113" s="360"/>
      <c r="K113" s="166">
        <f>IF(SUM(J70:J112)&gt;125,125,SUM(J70:J112))</f>
        <v>0</v>
      </c>
    </row>
    <row r="114" spans="1:11" ht="9.75" customHeight="1" x14ac:dyDescent="0.2">
      <c r="A114" s="28"/>
      <c r="B114" s="29"/>
      <c r="C114" s="29"/>
      <c r="D114" s="30"/>
      <c r="E114" s="30"/>
      <c r="F114" s="30"/>
      <c r="G114" s="87"/>
      <c r="H114" s="144"/>
      <c r="I114" s="112"/>
      <c r="J114" s="112"/>
      <c r="K114" s="112"/>
    </row>
    <row r="115" spans="1:11" ht="23" x14ac:dyDescent="0.2">
      <c r="A115" s="32"/>
      <c r="B115" s="353" t="s">
        <v>85</v>
      </c>
      <c r="C115" s="353"/>
      <c r="D115" s="353"/>
      <c r="E115" s="353"/>
      <c r="F115" s="353"/>
      <c r="G115" s="88"/>
      <c r="H115" s="167"/>
      <c r="I115" s="168"/>
      <c r="J115" s="168"/>
      <c r="K115" s="168"/>
    </row>
    <row r="116" spans="1:11" ht="18" x14ac:dyDescent="0.2">
      <c r="A116" s="40"/>
      <c r="B116" s="17"/>
      <c r="C116" s="348" t="s">
        <v>86</v>
      </c>
      <c r="D116" s="348"/>
      <c r="E116" s="348"/>
      <c r="F116" s="348"/>
      <c r="G116" s="82" t="s">
        <v>21</v>
      </c>
      <c r="H116" s="169"/>
      <c r="I116" s="169"/>
      <c r="J116" s="79" t="str">
        <f>IF(SUM(I117:I119)=0,"",IF(SUM(I117:I119)&gt;140,140,SUM(I117:I119)))</f>
        <v/>
      </c>
      <c r="K116" s="169"/>
    </row>
    <row r="117" spans="1:11" ht="18" x14ac:dyDescent="0.2">
      <c r="A117" s="40"/>
      <c r="B117" s="41"/>
      <c r="C117" s="76"/>
      <c r="D117" s="341" t="s">
        <v>87</v>
      </c>
      <c r="E117" s="341"/>
      <c r="F117" s="341"/>
      <c r="G117" s="83"/>
      <c r="H117" s="259"/>
      <c r="I117" s="79" t="str">
        <f>IF(H117="","",IF(INT(H117)*5&gt;30,30,INT(H117)*5))</f>
        <v/>
      </c>
      <c r="J117" s="170"/>
      <c r="K117" s="144"/>
    </row>
    <row r="118" spans="1:11" ht="18" x14ac:dyDescent="0.2">
      <c r="A118" s="40"/>
      <c r="B118" s="41"/>
      <c r="C118" s="76"/>
      <c r="D118" s="341" t="s">
        <v>88</v>
      </c>
      <c r="E118" s="341"/>
      <c r="F118" s="341"/>
      <c r="G118" s="78"/>
      <c r="H118" s="259"/>
      <c r="I118" s="79" t="str">
        <f>IF(H118="","",IF(INT(H118)*10&gt;50,50,INT(H118)*10))</f>
        <v/>
      </c>
      <c r="J118" s="171"/>
      <c r="K118" s="172"/>
    </row>
    <row r="119" spans="1:11" ht="18" x14ac:dyDescent="0.2">
      <c r="A119" s="40"/>
      <c r="B119" s="41"/>
      <c r="C119" s="76"/>
      <c r="D119" s="341" t="s">
        <v>89</v>
      </c>
      <c r="E119" s="341"/>
      <c r="F119" s="341"/>
      <c r="G119" s="78"/>
      <c r="H119" s="259"/>
      <c r="I119" s="79" t="str">
        <f>IF(H119="","",IF(INT(H119)*20&gt;60,60,INT(H119)*20))</f>
        <v/>
      </c>
      <c r="J119" s="173"/>
      <c r="K119" s="174"/>
    </row>
    <row r="120" spans="1:11" ht="18" x14ac:dyDescent="0.2">
      <c r="A120" s="40"/>
      <c r="B120" s="41"/>
      <c r="C120" s="348" t="s">
        <v>90</v>
      </c>
      <c r="D120" s="348"/>
      <c r="E120" s="348"/>
      <c r="F120" s="348"/>
      <c r="G120" s="82" t="s">
        <v>21</v>
      </c>
      <c r="H120" s="259"/>
      <c r="I120" s="169"/>
      <c r="J120" s="79" t="str">
        <f>IF(H120="","",IF(INT(H120)*2&gt;30,30,INT(H120)*2))</f>
        <v/>
      </c>
      <c r="K120" s="169"/>
    </row>
    <row r="121" spans="1:11" ht="18" x14ac:dyDescent="0.2">
      <c r="A121" s="40"/>
      <c r="B121" s="41"/>
      <c r="C121" s="348" t="s">
        <v>91</v>
      </c>
      <c r="D121" s="348"/>
      <c r="E121" s="348"/>
      <c r="F121" s="348"/>
      <c r="G121" s="82" t="s">
        <v>21</v>
      </c>
      <c r="H121" s="259"/>
      <c r="I121" s="169"/>
      <c r="J121" s="79" t="str">
        <f>IF(H121="","",IF(INT(H121)*2&gt;20,20,INT(H121)*2))</f>
        <v/>
      </c>
      <c r="K121" s="169"/>
    </row>
    <row r="122" spans="1:11" ht="34.5" customHeight="1" x14ac:dyDescent="0.2">
      <c r="A122" s="40"/>
      <c r="B122" s="41"/>
      <c r="C122" s="348" t="s">
        <v>92</v>
      </c>
      <c r="D122" s="348"/>
      <c r="E122" s="348"/>
      <c r="F122" s="348"/>
      <c r="G122" s="82" t="s">
        <v>21</v>
      </c>
      <c r="H122" s="259"/>
      <c r="I122" s="169"/>
      <c r="J122" s="80" t="str">
        <f>IF(H122="","",IF(INT(H122)*6&gt;30,30,INT(H122)*6))</f>
        <v/>
      </c>
      <c r="K122" s="169"/>
    </row>
    <row r="123" spans="1:11" ht="18" x14ac:dyDescent="0.2">
      <c r="A123" s="40"/>
      <c r="B123" s="41"/>
      <c r="C123" s="348" t="s">
        <v>93</v>
      </c>
      <c r="D123" s="348"/>
      <c r="E123" s="348"/>
      <c r="F123" s="348"/>
      <c r="G123" s="81"/>
      <c r="H123" s="169"/>
      <c r="I123" s="169"/>
      <c r="J123" s="79" t="str">
        <f>IF(SUM(I124:I126)=0,"",IF(SUM(I124:I126)&gt;90,90,SUM(I124:I126)))</f>
        <v/>
      </c>
      <c r="K123" s="169"/>
    </row>
    <row r="124" spans="1:11" ht="18" x14ac:dyDescent="0.2">
      <c r="A124" s="40"/>
      <c r="B124" s="17"/>
      <c r="C124" s="23"/>
      <c r="D124" s="341" t="s">
        <v>235</v>
      </c>
      <c r="E124" s="341"/>
      <c r="F124" s="341"/>
      <c r="G124" s="77" t="s">
        <v>21</v>
      </c>
      <c r="H124" s="259"/>
      <c r="I124" s="79" t="str">
        <f>IF(H124="","",IF(INT(H124)*1&gt;20,20,INT(H124)*1))</f>
        <v/>
      </c>
      <c r="J124" s="170"/>
      <c r="K124" s="144"/>
    </row>
    <row r="125" spans="1:11" ht="18" x14ac:dyDescent="0.2">
      <c r="A125" s="40"/>
      <c r="B125" s="17"/>
      <c r="C125" s="23"/>
      <c r="D125" s="341" t="s">
        <v>94</v>
      </c>
      <c r="E125" s="341"/>
      <c r="F125" s="341"/>
      <c r="G125" s="77" t="s">
        <v>21</v>
      </c>
      <c r="H125" s="259"/>
      <c r="I125" s="79" t="str">
        <f>IF(H125="","",IF(INT(H125)*8&gt;40,40,INT(H125)*8))</f>
        <v/>
      </c>
      <c r="J125" s="171"/>
      <c r="K125" s="172"/>
    </row>
    <row r="126" spans="1:11" ht="18" x14ac:dyDescent="0.2">
      <c r="A126" s="16"/>
      <c r="B126" s="17"/>
      <c r="C126" s="23"/>
      <c r="D126" s="341" t="s">
        <v>95</v>
      </c>
      <c r="E126" s="341"/>
      <c r="F126" s="341"/>
      <c r="G126" s="77" t="s">
        <v>21</v>
      </c>
      <c r="H126" s="259"/>
      <c r="I126" s="79" t="str">
        <f>IF(H126="","",IF(INT(H126)*15&gt;30,30,INT(H126)*15))</f>
        <v/>
      </c>
      <c r="J126" s="173"/>
      <c r="K126" s="174"/>
    </row>
    <row r="127" spans="1:11" ht="18" x14ac:dyDescent="0.2">
      <c r="A127" s="40"/>
      <c r="B127" s="41"/>
      <c r="C127" s="348" t="s">
        <v>96</v>
      </c>
      <c r="D127" s="348"/>
      <c r="E127" s="348"/>
      <c r="F127" s="348"/>
      <c r="G127" s="82" t="s">
        <v>21</v>
      </c>
      <c r="H127" s="169"/>
      <c r="I127" s="169"/>
      <c r="J127" s="79" t="str">
        <f>IF(SUM(I128:I129)=0,"",IF(SUM(I128:I129)&gt;30,30,ROUND(SUM(I128:I129),0)))</f>
        <v/>
      </c>
      <c r="K127" s="169"/>
    </row>
    <row r="128" spans="1:11" ht="18" x14ac:dyDescent="0.2">
      <c r="A128" s="40"/>
      <c r="B128" s="41"/>
      <c r="C128" s="42"/>
      <c r="D128" s="335" t="s">
        <v>97</v>
      </c>
      <c r="E128" s="335"/>
      <c r="F128" s="335"/>
      <c r="G128" s="84"/>
      <c r="H128" s="259"/>
      <c r="I128" s="79" t="str">
        <f>IF(H128="","",IF(INT(H128)*0.5&gt;15,15,INT(H128)*0.5))</f>
        <v/>
      </c>
      <c r="J128" s="170"/>
      <c r="K128" s="144"/>
    </row>
    <row r="129" spans="1:11" ht="18" x14ac:dyDescent="0.2">
      <c r="A129" s="40"/>
      <c r="B129" s="41"/>
      <c r="C129" s="42"/>
      <c r="D129" s="335" t="s">
        <v>98</v>
      </c>
      <c r="E129" s="335"/>
      <c r="F129" s="335"/>
      <c r="G129" s="84"/>
      <c r="H129" s="259"/>
      <c r="I129" s="79" t="str">
        <f>IF(H129="","",IF(INT(H129)*0.5&gt;15,15,INT(H129)*0.5))</f>
        <v/>
      </c>
      <c r="J129" s="173"/>
      <c r="K129" s="174"/>
    </row>
    <row r="130" spans="1:11" ht="18" x14ac:dyDescent="0.2">
      <c r="A130" s="40"/>
      <c r="B130" s="41"/>
      <c r="C130" s="348" t="s">
        <v>230</v>
      </c>
      <c r="D130" s="348"/>
      <c r="E130" s="348"/>
      <c r="F130" s="348"/>
      <c r="G130" s="82" t="s">
        <v>21</v>
      </c>
      <c r="H130" s="169"/>
      <c r="I130" s="169"/>
      <c r="J130" s="79" t="str">
        <f>IF(SUM(I131:I132)=0,"",IF(SUM(I131:I132)&gt;100,100,SUM(I131:I132)))</f>
        <v/>
      </c>
      <c r="K130" s="169"/>
    </row>
    <row r="131" spans="1:11" ht="18" x14ac:dyDescent="0.2">
      <c r="A131" s="16"/>
      <c r="B131" s="17"/>
      <c r="C131" s="42"/>
      <c r="D131" s="335" t="s">
        <v>231</v>
      </c>
      <c r="E131" s="335"/>
      <c r="F131" s="335"/>
      <c r="G131" s="84"/>
      <c r="H131" s="259"/>
      <c r="I131" s="79" t="str">
        <f>IF(H131="","",IF(INT(H131)*5&gt;50,50,INT(H131)*5))</f>
        <v/>
      </c>
      <c r="J131" s="170"/>
      <c r="K131" s="144"/>
    </row>
    <row r="132" spans="1:11" ht="18" x14ac:dyDescent="0.2">
      <c r="A132" s="16"/>
      <c r="B132" s="17"/>
      <c r="C132" s="42"/>
      <c r="D132" s="335" t="s">
        <v>232</v>
      </c>
      <c r="E132" s="335"/>
      <c r="F132" s="335"/>
      <c r="G132" s="84"/>
      <c r="H132" s="259"/>
      <c r="I132" s="80" t="str">
        <f>IF(H132="","",IF(INT(H132)*5&gt;50,50,INT(H132)*5))</f>
        <v/>
      </c>
      <c r="J132" s="173"/>
      <c r="K132" s="174"/>
    </row>
    <row r="133" spans="1:11" ht="38.25" customHeight="1" x14ac:dyDescent="0.2">
      <c r="A133" s="40"/>
      <c r="B133" s="41"/>
      <c r="C133" s="348" t="s">
        <v>233</v>
      </c>
      <c r="D133" s="348"/>
      <c r="E133" s="348"/>
      <c r="F133" s="348"/>
      <c r="G133" s="82" t="s">
        <v>21</v>
      </c>
      <c r="H133" s="169"/>
      <c r="I133" s="169"/>
      <c r="J133" s="79" t="str">
        <f>IF(SUM(I134:I135)=0,"",IF(SUM(I134:I135)&gt;70,70,SUM(I134:I135)))</f>
        <v/>
      </c>
      <c r="K133" s="169"/>
    </row>
    <row r="134" spans="1:11" ht="18" x14ac:dyDescent="0.2">
      <c r="A134" s="16"/>
      <c r="B134" s="17"/>
      <c r="C134" s="43"/>
      <c r="D134" s="341" t="s">
        <v>99</v>
      </c>
      <c r="E134" s="341"/>
      <c r="F134" s="341"/>
      <c r="G134" s="85"/>
      <c r="H134" s="259"/>
      <c r="I134" s="79" t="str">
        <f>IF(H134="","",IF(INT(H134)*15&gt;30,30,INT(H134)*15))</f>
        <v/>
      </c>
      <c r="J134" s="170"/>
      <c r="K134" s="144"/>
    </row>
    <row r="135" spans="1:11" ht="18" x14ac:dyDescent="0.2">
      <c r="A135" s="16"/>
      <c r="B135" s="17"/>
      <c r="C135" s="43"/>
      <c r="D135" s="341" t="s">
        <v>100</v>
      </c>
      <c r="E135" s="341"/>
      <c r="F135" s="341"/>
      <c r="G135" s="85"/>
      <c r="H135" s="259"/>
      <c r="I135" s="79" t="str">
        <f>IF(H135="","",IF(INT(H135)*20&gt;40,40,INT(H135)*20))</f>
        <v/>
      </c>
      <c r="J135" s="173"/>
      <c r="K135" s="174"/>
    </row>
    <row r="136" spans="1:11" ht="18" x14ac:dyDescent="0.2">
      <c r="A136" s="40"/>
      <c r="B136" s="41"/>
      <c r="C136" s="348" t="s">
        <v>101</v>
      </c>
      <c r="D136" s="348"/>
      <c r="E136" s="348"/>
      <c r="F136" s="348"/>
      <c r="G136" s="82" t="s">
        <v>21</v>
      </c>
      <c r="H136" s="169"/>
      <c r="I136" s="169"/>
      <c r="J136" s="79" t="str">
        <f>IF(SUM(I137:I138)=0,"",IF(SUM(I137:I138)&gt;70,70,SUM(I137:I138)))</f>
        <v/>
      </c>
      <c r="K136" s="169"/>
    </row>
    <row r="137" spans="1:11" ht="18" x14ac:dyDescent="0.2">
      <c r="A137" s="16"/>
      <c r="B137" s="17"/>
      <c r="C137" s="23"/>
      <c r="D137" s="341" t="s">
        <v>102</v>
      </c>
      <c r="E137" s="341"/>
      <c r="F137" s="341"/>
      <c r="G137" s="85"/>
      <c r="H137" s="259"/>
      <c r="I137" s="79" t="str">
        <f>IF(H137="","",IF(INT(H137)*15&gt;30,30,INT(H137)*15))</f>
        <v/>
      </c>
      <c r="J137" s="170"/>
      <c r="K137" s="144"/>
    </row>
    <row r="138" spans="1:11" ht="18" x14ac:dyDescent="0.2">
      <c r="A138" s="16"/>
      <c r="B138" s="17"/>
      <c r="C138" s="44"/>
      <c r="D138" s="362" t="s">
        <v>103</v>
      </c>
      <c r="E138" s="362"/>
      <c r="F138" s="362"/>
      <c r="G138" s="86"/>
      <c r="H138" s="259"/>
      <c r="I138" s="79" t="str">
        <f>IF(H138="","",IF(INT(H138)*20&gt;40,40,INT(H138)*20))</f>
        <v/>
      </c>
      <c r="J138" s="173"/>
      <c r="K138" s="174"/>
    </row>
    <row r="139" spans="1:11" ht="24" x14ac:dyDescent="0.3">
      <c r="A139" s="45"/>
      <c r="B139" s="351" t="s">
        <v>104</v>
      </c>
      <c r="C139" s="351"/>
      <c r="D139" s="351"/>
      <c r="E139" s="351"/>
      <c r="F139" s="351"/>
      <c r="G139" s="351"/>
      <c r="H139" s="351"/>
      <c r="I139" s="351"/>
      <c r="J139" s="351"/>
      <c r="K139" s="175">
        <f>IF(SUM(J136,J133,J130,J127,J123,J122,J121,J120,J116)&gt;225,225,SUM(J136,J133,J130,J127,J123,J122,J121,J120,J116))</f>
        <v>0</v>
      </c>
    </row>
    <row r="140" spans="1:11" ht="16" x14ac:dyDescent="0.2">
      <c r="A140" s="28"/>
      <c r="B140" s="29"/>
      <c r="C140" s="29"/>
      <c r="D140" s="30"/>
      <c r="E140" s="30"/>
      <c r="F140" s="30"/>
      <c r="G140" s="31"/>
      <c r="H140" s="112"/>
      <c r="I140" s="112"/>
      <c r="J140" s="112"/>
      <c r="K140" s="112"/>
    </row>
    <row r="141" spans="1:11" ht="23" x14ac:dyDescent="0.2">
      <c r="A141" s="32"/>
      <c r="B141" s="46" t="s">
        <v>105</v>
      </c>
      <c r="C141" s="46"/>
      <c r="D141" s="46"/>
      <c r="E141" s="46"/>
      <c r="F141" s="46"/>
      <c r="G141" s="100"/>
      <c r="H141" s="176"/>
      <c r="I141" s="176"/>
      <c r="J141" s="176"/>
      <c r="K141" s="176"/>
    </row>
    <row r="142" spans="1:11" ht="18" x14ac:dyDescent="0.2">
      <c r="A142" s="16"/>
      <c r="B142" s="17"/>
      <c r="C142" s="350" t="s">
        <v>106</v>
      </c>
      <c r="D142" s="350"/>
      <c r="E142" s="350"/>
      <c r="F142" s="350"/>
      <c r="G142" s="101" t="s">
        <v>21</v>
      </c>
      <c r="H142" s="259"/>
      <c r="I142" s="177"/>
      <c r="J142" s="98" t="str">
        <f>IF(H142="","",IF(INT(H142)*25&gt;25,25,INT(H142)*25))</f>
        <v/>
      </c>
      <c r="K142" s="177"/>
    </row>
    <row r="143" spans="1:11" ht="18" x14ac:dyDescent="0.2">
      <c r="A143" s="16"/>
      <c r="B143" s="17"/>
      <c r="C143" s="350" t="s">
        <v>107</v>
      </c>
      <c r="D143" s="350"/>
      <c r="E143" s="350"/>
      <c r="F143" s="350"/>
      <c r="G143" s="101" t="s">
        <v>21</v>
      </c>
      <c r="H143" s="259"/>
      <c r="I143" s="177"/>
      <c r="J143" s="98" t="str">
        <f>IF(H143="","",IF(INT(H143)*25&gt;25,25,INT(H143)*25))</f>
        <v/>
      </c>
      <c r="K143" s="177"/>
    </row>
    <row r="144" spans="1:11" ht="18" x14ac:dyDescent="0.2">
      <c r="A144" s="16"/>
      <c r="B144" s="17"/>
      <c r="C144" s="350" t="s">
        <v>108</v>
      </c>
      <c r="D144" s="350"/>
      <c r="E144" s="350"/>
      <c r="F144" s="350"/>
      <c r="G144" s="101" t="s">
        <v>21</v>
      </c>
      <c r="H144" s="259"/>
      <c r="I144" s="177"/>
      <c r="J144" s="98" t="str">
        <f>IF(H144="","",IF(INT(H144)*10&gt;20,20,INT(H144)*10))</f>
        <v/>
      </c>
      <c r="K144" s="177"/>
    </row>
    <row r="145" spans="1:14" ht="38.25" customHeight="1" x14ac:dyDescent="0.2">
      <c r="A145" s="16"/>
      <c r="B145" s="17"/>
      <c r="C145" s="350" t="s">
        <v>234</v>
      </c>
      <c r="D145" s="350"/>
      <c r="E145" s="350"/>
      <c r="F145" s="350"/>
      <c r="G145" s="101" t="s">
        <v>21</v>
      </c>
      <c r="H145" s="259"/>
      <c r="I145" s="177"/>
      <c r="J145" s="99" t="str">
        <f>IF(H145="","",IF(INT(H145)*10&gt;100,100,INT(H145)*10))</f>
        <v/>
      </c>
      <c r="K145" s="177"/>
    </row>
    <row r="146" spans="1:14" ht="18" x14ac:dyDescent="0.2">
      <c r="A146" s="16"/>
      <c r="B146" s="17"/>
      <c r="C146" s="350" t="s">
        <v>109</v>
      </c>
      <c r="D146" s="350"/>
      <c r="E146" s="350"/>
      <c r="F146" s="350"/>
      <c r="G146" s="101" t="s">
        <v>21</v>
      </c>
      <c r="H146" s="259"/>
      <c r="I146" s="177"/>
      <c r="J146" s="98" t="str">
        <f>IF(H146="","",IF(INT(H146)*20&gt;100,100,INT(H146)*20))</f>
        <v/>
      </c>
      <c r="K146" s="177"/>
    </row>
    <row r="147" spans="1:14" ht="18" x14ac:dyDescent="0.2">
      <c r="A147" s="16"/>
      <c r="B147" s="17"/>
      <c r="C147" s="350" t="s">
        <v>110</v>
      </c>
      <c r="D147" s="350"/>
      <c r="E147" s="350"/>
      <c r="F147" s="350"/>
      <c r="G147" s="102"/>
      <c r="H147" s="177"/>
      <c r="I147" s="177"/>
      <c r="J147" s="98" t="str">
        <f>IF(SUM(I149:I150,I152:I153,I155:I156)=0,"",IF(SUM(I149:I150,I152:I153,I155:I156)&gt;40,40,SUM(I149:I150,I152:I153,I155:I156)))</f>
        <v/>
      </c>
      <c r="K147" s="177"/>
    </row>
    <row r="148" spans="1:14" ht="18" x14ac:dyDescent="0.2">
      <c r="A148" s="16"/>
      <c r="B148" s="17"/>
      <c r="C148" s="104"/>
      <c r="D148" s="361" t="s">
        <v>111</v>
      </c>
      <c r="E148" s="361"/>
      <c r="F148" s="361"/>
      <c r="G148" s="105"/>
      <c r="H148" s="178"/>
      <c r="I148" s="179"/>
      <c r="J148" s="179"/>
      <c r="K148" s="179"/>
    </row>
    <row r="149" spans="1:14" ht="18" x14ac:dyDescent="0.2">
      <c r="A149" s="16"/>
      <c r="B149" s="17"/>
      <c r="C149" s="23"/>
      <c r="D149" s="341" t="s">
        <v>112</v>
      </c>
      <c r="E149" s="341"/>
      <c r="F149" s="341"/>
      <c r="G149" s="77" t="s">
        <v>21</v>
      </c>
      <c r="H149" s="259"/>
      <c r="I149" s="98" t="str">
        <f>IF(H149="","",IF(INT(H149)*8&gt;40,40,INT(H149)*8))</f>
        <v/>
      </c>
      <c r="J149" s="171"/>
      <c r="K149" s="172"/>
    </row>
    <row r="150" spans="1:14" ht="18" x14ac:dyDescent="0.2">
      <c r="A150" s="16"/>
      <c r="B150" s="17"/>
      <c r="C150" s="23"/>
      <c r="D150" s="341" t="s">
        <v>113</v>
      </c>
      <c r="E150" s="341"/>
      <c r="F150" s="341"/>
      <c r="G150" s="77" t="s">
        <v>21</v>
      </c>
      <c r="H150" s="259"/>
      <c r="I150" s="98" t="str">
        <f>IF(H150="","",IF(INT(H150)*4&gt;40,40,INT(H150)*4))</f>
        <v/>
      </c>
      <c r="J150" s="171"/>
      <c r="K150" s="172"/>
    </row>
    <row r="151" spans="1:14" ht="18" x14ac:dyDescent="0.2">
      <c r="A151" s="16"/>
      <c r="B151" s="17"/>
      <c r="C151" s="106"/>
      <c r="D151" s="361" t="s">
        <v>114</v>
      </c>
      <c r="E151" s="361"/>
      <c r="F151" s="361"/>
      <c r="G151" s="105"/>
      <c r="H151" s="180"/>
      <c r="I151" s="181"/>
      <c r="J151" s="182"/>
      <c r="K151" s="182"/>
    </row>
    <row r="152" spans="1:14" ht="18" x14ac:dyDescent="0.2">
      <c r="A152" s="16"/>
      <c r="B152" s="17"/>
      <c r="C152" s="23"/>
      <c r="D152" s="341" t="s">
        <v>115</v>
      </c>
      <c r="E152" s="341"/>
      <c r="F152" s="341"/>
      <c r="G152" s="77" t="s">
        <v>21</v>
      </c>
      <c r="H152" s="259"/>
      <c r="I152" s="98" t="str">
        <f>IF(H152="","",IF(INT(H152)*20&gt;40,40,INT(H152)*20))</f>
        <v/>
      </c>
      <c r="J152" s="171"/>
      <c r="K152" s="172"/>
    </row>
    <row r="153" spans="1:14" ht="18" x14ac:dyDescent="0.2">
      <c r="A153" s="16"/>
      <c r="B153" s="17"/>
      <c r="C153" s="23"/>
      <c r="D153" s="341" t="s">
        <v>116</v>
      </c>
      <c r="E153" s="341"/>
      <c r="F153" s="341"/>
      <c r="G153" s="77" t="s">
        <v>21</v>
      </c>
      <c r="H153" s="259"/>
      <c r="I153" s="98" t="str">
        <f>IF(H153="","",IF(INT(H153)*10&gt;40,40,INT(H153)*10))</f>
        <v/>
      </c>
      <c r="J153" s="171"/>
      <c r="K153" s="172"/>
    </row>
    <row r="154" spans="1:14" ht="18" x14ac:dyDescent="0.2">
      <c r="A154" s="16"/>
      <c r="B154" s="17"/>
      <c r="C154" s="106"/>
      <c r="D154" s="361" t="s">
        <v>117</v>
      </c>
      <c r="E154" s="361"/>
      <c r="F154" s="361"/>
      <c r="G154" s="105"/>
      <c r="H154" s="180"/>
      <c r="I154" s="181"/>
      <c r="J154" s="182"/>
      <c r="K154" s="182"/>
    </row>
    <row r="155" spans="1:14" ht="18" x14ac:dyDescent="0.2">
      <c r="A155" s="16"/>
      <c r="B155" s="17"/>
      <c r="C155" s="23"/>
      <c r="D155" s="341" t="s">
        <v>118</v>
      </c>
      <c r="E155" s="341"/>
      <c r="F155" s="341"/>
      <c r="G155" s="77" t="s">
        <v>21</v>
      </c>
      <c r="H155" s="259"/>
      <c r="I155" s="98" t="str">
        <f>IF(H155="","",IF(INT(H155)*15&gt;40,40,INT(H155)*15))</f>
        <v/>
      </c>
      <c r="J155" s="171"/>
      <c r="K155" s="172"/>
    </row>
    <row r="156" spans="1:14" ht="18" x14ac:dyDescent="0.2">
      <c r="A156" s="16"/>
      <c r="B156" s="17"/>
      <c r="C156" s="23"/>
      <c r="D156" s="341" t="s">
        <v>119</v>
      </c>
      <c r="E156" s="341"/>
      <c r="F156" s="341"/>
      <c r="G156" s="77" t="s">
        <v>21</v>
      </c>
      <c r="H156" s="259"/>
      <c r="I156" s="98" t="str">
        <f>IF(H156="","",IF(INT(H156)*8&gt;40,40,INT(H156)*8))</f>
        <v/>
      </c>
      <c r="J156" s="173"/>
      <c r="K156" s="174"/>
    </row>
    <row r="157" spans="1:14" ht="38.25" customHeight="1" x14ac:dyDescent="0.2">
      <c r="A157" s="16"/>
      <c r="B157" s="17"/>
      <c r="C157" s="350" t="s">
        <v>127</v>
      </c>
      <c r="D157" s="350"/>
      <c r="E157" s="350"/>
      <c r="F157" s="350"/>
      <c r="G157" s="102"/>
      <c r="H157" s="354" t="s">
        <v>124</v>
      </c>
      <c r="I157" s="355"/>
      <c r="J157" s="99" t="str">
        <f>IF(M157=1,"",IF(M157=2,100,IF(M157=3,50)))</f>
        <v/>
      </c>
      <c r="K157" s="177"/>
      <c r="L157" s="185">
        <v>1</v>
      </c>
      <c r="M157">
        <f>IF(H157="Ninguno",1,IF(H157="2. En consolidación",3,IF(H157="1. Consolidado",2,0)))</f>
        <v>1</v>
      </c>
    </row>
    <row r="158" spans="1:14" ht="57.75" customHeight="1" x14ac:dyDescent="0.2">
      <c r="A158" s="16"/>
      <c r="B158" s="17"/>
      <c r="C158" s="350" t="s">
        <v>120</v>
      </c>
      <c r="D158" s="350"/>
      <c r="E158" s="350"/>
      <c r="F158" s="350"/>
      <c r="G158" s="101" t="s">
        <v>21</v>
      </c>
      <c r="H158" s="259"/>
      <c r="I158" s="177"/>
      <c r="J158" s="99" t="str">
        <f>IF(H158="","",IF(INT(H158)*20&gt;100,100,INT(H158)*20))</f>
        <v/>
      </c>
      <c r="K158" s="177"/>
    </row>
    <row r="159" spans="1:14" ht="36" customHeight="1" x14ac:dyDescent="0.2">
      <c r="A159" s="16"/>
      <c r="B159" s="17"/>
      <c r="C159" s="350" t="s">
        <v>121</v>
      </c>
      <c r="D159" s="350"/>
      <c r="E159" s="350"/>
      <c r="F159" s="350"/>
      <c r="G159" s="103" t="s">
        <v>21</v>
      </c>
      <c r="H159" s="259"/>
      <c r="I159" s="177"/>
      <c r="J159" s="99" t="str">
        <f>IF(H159="","",IF(INT(H159)*20&gt;100,100,INT(H159)*20))</f>
        <v/>
      </c>
      <c r="K159" s="177"/>
    </row>
    <row r="160" spans="1:14" ht="49.5" customHeight="1" x14ac:dyDescent="0.2">
      <c r="A160" s="112"/>
      <c r="B160" s="45"/>
      <c r="C160" s="320" t="s">
        <v>122</v>
      </c>
      <c r="D160" s="320"/>
      <c r="E160" s="320"/>
      <c r="F160" s="320"/>
      <c r="G160" s="320"/>
      <c r="H160" s="321"/>
      <c r="I160" s="321"/>
      <c r="J160" s="321"/>
      <c r="K160" s="183">
        <f>IF(SUM(J159,J158,J157,J147,J146,J145,J144,J143,J142)&gt;100,100,SUM(J159,J158,J157,J147,J146,J145,J144,J143,J142))</f>
        <v>0</v>
      </c>
      <c r="L160" s="95"/>
      <c r="M160" s="95"/>
      <c r="N160" s="95"/>
    </row>
    <row r="161" spans="2:14" ht="19" thickBot="1" x14ac:dyDescent="0.25">
      <c r="B161" s="32"/>
      <c r="C161" s="89"/>
      <c r="D161" s="29"/>
      <c r="E161" s="29"/>
      <c r="F161" s="29"/>
      <c r="G161" s="29"/>
      <c r="H161" s="90"/>
      <c r="I161" s="91"/>
      <c r="J161" s="92"/>
      <c r="K161" s="93"/>
      <c r="L161" s="93"/>
      <c r="M161" s="93"/>
      <c r="N161" s="93"/>
    </row>
    <row r="162" spans="2:14" ht="26" thickBot="1" x14ac:dyDescent="0.25">
      <c r="B162" s="322" t="s">
        <v>123</v>
      </c>
      <c r="C162" s="323"/>
      <c r="D162" s="323"/>
      <c r="E162" s="323"/>
      <c r="F162" s="323"/>
      <c r="G162" s="323"/>
      <c r="H162" s="323"/>
      <c r="I162" s="323"/>
      <c r="J162" s="323"/>
      <c r="K162" s="221">
        <f>IF(SUM(K160,K139,K113,K68)&gt;700,700,SUM(K160,K139,K113,K68))</f>
        <v>0</v>
      </c>
      <c r="L162" s="96"/>
      <c r="M162" s="96"/>
      <c r="N162" s="97"/>
    </row>
    <row r="163" spans="2:14" ht="16" x14ac:dyDescent="0.2">
      <c r="B163" s="94"/>
      <c r="C163" s="94"/>
      <c r="D163" s="94"/>
      <c r="E163" s="94"/>
      <c r="F163" s="94"/>
      <c r="G163" s="94"/>
      <c r="H163" s="94"/>
      <c r="I163" s="51"/>
      <c r="J163" s="51"/>
      <c r="K163" s="51"/>
      <c r="L163" s="51"/>
      <c r="M163" s="51"/>
      <c r="N163" s="51"/>
    </row>
  </sheetData>
  <sheetProtection password="CBA8" sheet="1" objects="1" scenarios="1"/>
  <protectedRanges>
    <protectedRange sqref="D18:E20" name="Rango1"/>
    <protectedRange sqref="C101:G103" name="Rango2"/>
    <protectedRange sqref="D23:E27 D30:E34 D37:E41" name="Rango1_1"/>
  </protectedRanges>
  <mergeCells count="122">
    <mergeCell ref="H157:I157"/>
    <mergeCell ref="B2:K2"/>
    <mergeCell ref="C157:F157"/>
    <mergeCell ref="C158:F158"/>
    <mergeCell ref="C159:F159"/>
    <mergeCell ref="D35:G35"/>
    <mergeCell ref="B68:J68"/>
    <mergeCell ref="B113:J113"/>
    <mergeCell ref="D151:F151"/>
    <mergeCell ref="D152:F152"/>
    <mergeCell ref="D153:F153"/>
    <mergeCell ref="D154:F154"/>
    <mergeCell ref="D155:F155"/>
    <mergeCell ref="D156:F156"/>
    <mergeCell ref="C145:F145"/>
    <mergeCell ref="C146:F146"/>
    <mergeCell ref="C147:F147"/>
    <mergeCell ref="D148:F148"/>
    <mergeCell ref="D149:F149"/>
    <mergeCell ref="D150:F150"/>
    <mergeCell ref="D137:F137"/>
    <mergeCell ref="D138:F138"/>
    <mergeCell ref="C142:F142"/>
    <mergeCell ref="C143:F143"/>
    <mergeCell ref="C144:F144"/>
    <mergeCell ref="B139:J139"/>
    <mergeCell ref="D119:F119"/>
    <mergeCell ref="C120:F120"/>
    <mergeCell ref="C121:F121"/>
    <mergeCell ref="C122:F122"/>
    <mergeCell ref="C123:F123"/>
    <mergeCell ref="D124:F124"/>
    <mergeCell ref="C112:F112"/>
    <mergeCell ref="B115:F115"/>
    <mergeCell ref="C116:F116"/>
    <mergeCell ref="D117:F117"/>
    <mergeCell ref="D118:F118"/>
    <mergeCell ref="D131:F131"/>
    <mergeCell ref="D132:F132"/>
    <mergeCell ref="C133:F133"/>
    <mergeCell ref="D134:F134"/>
    <mergeCell ref="D135:F135"/>
    <mergeCell ref="C136:F136"/>
    <mergeCell ref="D125:F125"/>
    <mergeCell ref="D126:F126"/>
    <mergeCell ref="C127:F127"/>
    <mergeCell ref="D128:F128"/>
    <mergeCell ref="D129:F129"/>
    <mergeCell ref="C130:F130"/>
    <mergeCell ref="D106:F106"/>
    <mergeCell ref="D107:F107"/>
    <mergeCell ref="C108:F108"/>
    <mergeCell ref="D109:F109"/>
    <mergeCell ref="D110:F110"/>
    <mergeCell ref="D111:F111"/>
    <mergeCell ref="C102:D102"/>
    <mergeCell ref="E102:F102"/>
    <mergeCell ref="C103:D103"/>
    <mergeCell ref="E103:F103"/>
    <mergeCell ref="C104:F104"/>
    <mergeCell ref="D105:F105"/>
    <mergeCell ref="D98:F98"/>
    <mergeCell ref="C99:F99"/>
    <mergeCell ref="C100:D100"/>
    <mergeCell ref="E100:F100"/>
    <mergeCell ref="C101:D101"/>
    <mergeCell ref="E101:F101"/>
    <mergeCell ref="C92:F92"/>
    <mergeCell ref="C93:F93"/>
    <mergeCell ref="D94:F94"/>
    <mergeCell ref="D95:F95"/>
    <mergeCell ref="C96:F96"/>
    <mergeCell ref="D97:F97"/>
    <mergeCell ref="D86:F86"/>
    <mergeCell ref="D87:F87"/>
    <mergeCell ref="C88:F88"/>
    <mergeCell ref="D89:F89"/>
    <mergeCell ref="D90:F90"/>
    <mergeCell ref="C91:F91"/>
    <mergeCell ref="C78:F78"/>
    <mergeCell ref="D79:F79"/>
    <mergeCell ref="D80:F80"/>
    <mergeCell ref="C81:F81"/>
    <mergeCell ref="D84:F84"/>
    <mergeCell ref="C85:F85"/>
    <mergeCell ref="D54:F54"/>
    <mergeCell ref="D55:F55"/>
    <mergeCell ref="D72:F72"/>
    <mergeCell ref="D73:F73"/>
    <mergeCell ref="C74:F74"/>
    <mergeCell ref="C75:F75"/>
    <mergeCell ref="C76:F76"/>
    <mergeCell ref="C77:F77"/>
    <mergeCell ref="D64:F64"/>
    <mergeCell ref="D65:F65"/>
    <mergeCell ref="C66:G66"/>
    <mergeCell ref="B70:F70"/>
    <mergeCell ref="C71:F71"/>
    <mergeCell ref="C160:J160"/>
    <mergeCell ref="B162:J162"/>
    <mergeCell ref="D28:G28"/>
    <mergeCell ref="D42:F42"/>
    <mergeCell ref="D45:F45"/>
    <mergeCell ref="C46:G46"/>
    <mergeCell ref="D49:F49"/>
    <mergeCell ref="I4:K4"/>
    <mergeCell ref="A4:G5"/>
    <mergeCell ref="C9:F9"/>
    <mergeCell ref="C15:F15"/>
    <mergeCell ref="D16:G16"/>
    <mergeCell ref="D21:G21"/>
    <mergeCell ref="H4:H5"/>
    <mergeCell ref="D56:F56"/>
    <mergeCell ref="D57:F57"/>
    <mergeCell ref="D58:F58"/>
    <mergeCell ref="C59:G59"/>
    <mergeCell ref="D62:F62"/>
    <mergeCell ref="D63:F63"/>
    <mergeCell ref="D50:F50"/>
    <mergeCell ref="D51:F51"/>
    <mergeCell ref="D52:F52"/>
    <mergeCell ref="D53:F53"/>
  </mergeCells>
  <hyperlinks>
    <hyperlink ref="G42" r:id="rId1"/>
    <hyperlink ref="G45" r:id="rId2"/>
    <hyperlink ref="G49" r:id="rId3"/>
    <hyperlink ref="G52" r:id="rId4"/>
    <hyperlink ref="G55" r:id="rId5"/>
    <hyperlink ref="G58" r:id="rId6"/>
    <hyperlink ref="G62" r:id="rId7"/>
    <hyperlink ref="G63" r:id="rId8"/>
    <hyperlink ref="G64" r:id="rId9"/>
    <hyperlink ref="G65" r:id="rId10"/>
    <hyperlink ref="G72" r:id="rId11"/>
    <hyperlink ref="G73" r:id="rId12"/>
    <hyperlink ref="G74" r:id="rId13"/>
    <hyperlink ref="G76" r:id="rId14"/>
    <hyperlink ref="G77" r:id="rId15"/>
    <hyperlink ref="G104" r:id="rId16"/>
    <hyperlink ref="G112" r:id="rId17"/>
    <hyperlink ref="G136" r:id="rId18"/>
    <hyperlink ref="G142" r:id="rId19"/>
    <hyperlink ref="G143" r:id="rId20"/>
    <hyperlink ref="G144" r:id="rId21"/>
    <hyperlink ref="G145" r:id="rId22"/>
    <hyperlink ref="G146" r:id="rId23"/>
    <hyperlink ref="G158" r:id="rId24"/>
    <hyperlink ref="G159" r:id="rId25"/>
    <hyperlink ref="G133" r:id="rId26"/>
    <hyperlink ref="G130" r:id="rId27"/>
    <hyperlink ref="G127" r:id="rId28"/>
    <hyperlink ref="G125" r:id="rId29"/>
    <hyperlink ref="G124" r:id="rId30"/>
    <hyperlink ref="G122" r:id="rId31"/>
    <hyperlink ref="G121" r:id="rId32"/>
    <hyperlink ref="G120" r:id="rId33"/>
    <hyperlink ref="G116" r:id="rId34"/>
    <hyperlink ref="G99" r:id="rId35"/>
    <hyperlink ref="G126" r:id="rId36"/>
    <hyperlink ref="G149" r:id="rId37"/>
    <hyperlink ref="G150" r:id="rId38"/>
    <hyperlink ref="G152" r:id="rId39"/>
    <hyperlink ref="G153" r:id="rId40"/>
    <hyperlink ref="G155" r:id="rId41"/>
    <hyperlink ref="G156" r:id="rId42"/>
  </hyperlinks>
  <pageMargins left="0.25" right="0.25" top="0.75" bottom="0.75" header="0.3" footer="0.3"/>
  <pageSetup scale="51" fitToHeight="0" orientation="portrait" r:id="rId43"/>
  <drawing r:id="rId44"/>
  <legacyDrawing r:id="rId4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6" name="Check Box 1">
              <controlPr defaultSize="0" autoFill="0" autoLine="0" autoPict="0" altText="">
                <anchor moveWithCells="1">
                  <from>
                    <xdr:col>6</xdr:col>
                    <xdr:colOff>254000</xdr:colOff>
                    <xdr:row>9</xdr:row>
                    <xdr:rowOff>25400</xdr:rowOff>
                  </from>
                  <to>
                    <xdr:col>6</xdr:col>
                    <xdr:colOff>723900</xdr:colOff>
                    <xdr:row>9</xdr:row>
                    <xdr:rowOff>228600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7" name="Check Box 2">
              <controlPr defaultSize="0" autoFill="0" autoLine="0" autoPict="0">
                <anchor moveWithCells="1">
                  <from>
                    <xdr:col>6</xdr:col>
                    <xdr:colOff>254000</xdr:colOff>
                    <xdr:row>10</xdr:row>
                    <xdr:rowOff>25400</xdr:rowOff>
                  </from>
                  <to>
                    <xdr:col>6</xdr:col>
                    <xdr:colOff>533400</xdr:colOff>
                    <xdr:row>10</xdr:row>
                    <xdr:rowOff>215900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48" name="Check Box 3">
              <controlPr defaultSize="0" autoFill="0" autoLine="0" autoPict="0">
                <anchor moveWithCells="1">
                  <from>
                    <xdr:col>6</xdr:col>
                    <xdr:colOff>254000</xdr:colOff>
                    <xdr:row>11</xdr:row>
                    <xdr:rowOff>12700</xdr:rowOff>
                  </from>
                  <to>
                    <xdr:col>6</xdr:col>
                    <xdr:colOff>533400</xdr:colOff>
                    <xdr:row>11</xdr:row>
                    <xdr:rowOff>203200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Hoja5!$A$1:$A$3</xm:f>
          </x14:formula1>
          <xm:sqref>H157:I157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6:R51"/>
  <sheetViews>
    <sheetView topLeftCell="A12" zoomScale="60" zoomScaleNormal="60" zoomScalePageLayoutView="60" workbookViewId="0">
      <selection activeCell="G26" sqref="G26:G31"/>
    </sheetView>
  </sheetViews>
  <sheetFormatPr baseColWidth="10" defaultRowHeight="15" x14ac:dyDescent="0.2"/>
  <cols>
    <col min="1" max="1" width="13.33203125" customWidth="1"/>
    <col min="2" max="2" width="12.1640625" customWidth="1"/>
    <col min="3" max="3" width="4.6640625" bestFit="1" customWidth="1"/>
    <col min="4" max="4" width="51.83203125" customWidth="1"/>
    <col min="5" max="5" width="12.6640625" customWidth="1"/>
    <col min="6" max="6" width="20.5" customWidth="1"/>
    <col min="9" max="9" width="11.83203125" bestFit="1" customWidth="1"/>
    <col min="10" max="10" width="15" customWidth="1"/>
    <col min="11" max="11" width="1.1640625" hidden="1" customWidth="1"/>
    <col min="12" max="12" width="1.33203125" style="185" hidden="1" customWidth="1"/>
    <col min="13" max="14" width="1.33203125" hidden="1" customWidth="1"/>
    <col min="15" max="15" width="0.83203125" hidden="1" customWidth="1"/>
    <col min="16" max="16" width="1.5" hidden="1" customWidth="1"/>
    <col min="17" max="18" width="13.5" hidden="1" customWidth="1"/>
    <col min="19" max="19" width="13.5" customWidth="1"/>
  </cols>
  <sheetData>
    <row r="6" spans="1:18" ht="25" x14ac:dyDescent="0.2">
      <c r="A6" s="1" t="s">
        <v>129</v>
      </c>
      <c r="B6" s="1"/>
      <c r="C6" s="1"/>
      <c r="D6" s="1"/>
      <c r="E6" s="216"/>
      <c r="F6" s="216"/>
      <c r="G6" s="186"/>
      <c r="H6" s="187"/>
      <c r="I6" s="214"/>
    </row>
    <row r="7" spans="1:18" ht="20.25" customHeight="1" x14ac:dyDescent="0.2">
      <c r="A7" s="16"/>
      <c r="B7" s="363" t="s">
        <v>130</v>
      </c>
      <c r="C7" s="363"/>
      <c r="D7" s="363"/>
      <c r="E7" s="363"/>
      <c r="F7" s="363"/>
      <c r="G7" s="188"/>
      <c r="H7" s="189"/>
    </row>
    <row r="8" spans="1:18" ht="14.25" customHeight="1" x14ac:dyDescent="0.2">
      <c r="A8" s="16"/>
      <c r="B8" s="20"/>
      <c r="C8" s="190"/>
      <c r="D8" s="202" t="s">
        <v>145</v>
      </c>
      <c r="E8" s="202"/>
      <c r="F8" s="202"/>
      <c r="G8" s="188"/>
      <c r="H8" s="189"/>
    </row>
    <row r="9" spans="1:18" ht="14.25" customHeight="1" x14ac:dyDescent="0.2">
      <c r="A9" s="16"/>
      <c r="B9" s="20"/>
      <c r="C9" s="190"/>
      <c r="D9" s="202" t="s">
        <v>146</v>
      </c>
      <c r="E9" s="202"/>
      <c r="F9" s="202"/>
      <c r="G9" s="188"/>
      <c r="H9" s="189"/>
    </row>
    <row r="10" spans="1:18" ht="14.25" customHeight="1" x14ac:dyDescent="0.2">
      <c r="A10" s="16"/>
      <c r="B10" s="20"/>
      <c r="C10" s="190"/>
      <c r="D10" s="374" t="s">
        <v>147</v>
      </c>
      <c r="E10" s="374"/>
      <c r="F10" s="374"/>
      <c r="G10" s="188"/>
      <c r="H10" s="189"/>
    </row>
    <row r="11" spans="1:18" ht="14.25" customHeight="1" x14ac:dyDescent="0.2">
      <c r="A11" s="16"/>
      <c r="B11" s="20"/>
      <c r="C11" s="190"/>
      <c r="D11" s="374" t="s">
        <v>148</v>
      </c>
      <c r="E11" s="374"/>
      <c r="F11" s="374"/>
      <c r="G11" s="188"/>
      <c r="H11" s="189"/>
    </row>
    <row r="12" spans="1:18" ht="14.25" customHeight="1" x14ac:dyDescent="0.2">
      <c r="A12" s="16"/>
      <c r="B12" s="20"/>
      <c r="C12" s="190"/>
      <c r="D12" s="203" t="s">
        <v>149</v>
      </c>
      <c r="E12" s="203"/>
      <c r="F12" s="203"/>
      <c r="G12" s="191"/>
      <c r="H12" s="192"/>
    </row>
    <row r="13" spans="1:18" ht="15" customHeight="1" x14ac:dyDescent="0.2">
      <c r="A13" s="375" t="s">
        <v>131</v>
      </c>
      <c r="B13" s="375"/>
      <c r="C13" s="375"/>
      <c r="D13" s="376" t="s">
        <v>132</v>
      </c>
      <c r="E13" s="364" t="s">
        <v>150</v>
      </c>
      <c r="F13" s="365"/>
      <c r="G13" s="368" t="s">
        <v>133</v>
      </c>
      <c r="H13" s="387" t="s">
        <v>134</v>
      </c>
      <c r="I13" s="382" t="s">
        <v>155</v>
      </c>
    </row>
    <row r="14" spans="1:18" ht="15.75" customHeight="1" thickBot="1" x14ac:dyDescent="0.25">
      <c r="A14" s="375"/>
      <c r="B14" s="375"/>
      <c r="C14" s="375"/>
      <c r="D14" s="377"/>
      <c r="E14" s="366"/>
      <c r="F14" s="367"/>
      <c r="G14" s="369"/>
      <c r="H14" s="388"/>
      <c r="I14" s="382"/>
    </row>
    <row r="15" spans="1:18" ht="20" x14ac:dyDescent="0.2">
      <c r="A15" s="370" t="s">
        <v>135</v>
      </c>
      <c r="B15" s="370"/>
      <c r="C15" s="193">
        <v>1</v>
      </c>
      <c r="D15" s="260"/>
      <c r="E15" s="378"/>
      <c r="F15" s="379"/>
      <c r="G15" s="264"/>
      <c r="H15" s="204" t="str">
        <f>R15</f>
        <v/>
      </c>
      <c r="I15" s="205" t="str">
        <f>IF(E15="","",ROUND(IF(OR(E15="Técnico",E15="Licenciatura",E15="Maestría - Especialidad (Semestral)",E15="Doctorado (Semestral)"),G15*H15/2,IF(OR(E15="Maestría - Especialidad (Trimestral)",E15="Doctorado (Trimestral)"),G15*H15/3,0)),0))</f>
        <v/>
      </c>
      <c r="L15" s="185">
        <f>IF(E15="",1,IF(E15="Técnico",2,IF(E15="Licenciatura",3,IF(E15="Maestría - Especialidad (Semestral)",4,IF(E15="Maestría - Especialidad (Trimestral)",5,IF(E15="Doctorado (Semestral)",6,IF(E15="Doctorado (Trimestral)",7,1)))))))</f>
        <v>1</v>
      </c>
      <c r="P15" t="str">
        <f>IF(OR(L15=2,L15=3,L15=4,L15=6),G15*0.5,IF(OR(L15=5,L15=7),G15*0.33,""))</f>
        <v/>
      </c>
      <c r="R15" t="str">
        <f>IF(E15="","",IF(E15="Técnico",5,IF(E15="Licenciatura",10,IF(E15="Maestría - Especialidad (Semestral)",12,IF(E15="Maestría - Especialidad (Trimestral)",12,IF(E15="Doctorado (Semestral)",14,IF(E15="Doctorado (Trimestral)",14,0)))))))</f>
        <v/>
      </c>
    </row>
    <row r="16" spans="1:18" ht="20" x14ac:dyDescent="0.2">
      <c r="A16" s="370"/>
      <c r="B16" s="370"/>
      <c r="C16" s="193">
        <v>2</v>
      </c>
      <c r="D16" s="260"/>
      <c r="E16" s="378"/>
      <c r="F16" s="379"/>
      <c r="G16" s="264"/>
      <c r="H16" s="204" t="str">
        <f t="shared" ref="H16:H24" si="0">R16</f>
        <v/>
      </c>
      <c r="I16" s="205" t="str">
        <f t="shared" ref="I16:I35" si="1">IF(E16="","",ROUND(IF(OR(E16="Técnico",E16="Licenciatura",E16="Maestría - Especialidad (Semestral)",E16="Doctorado (Semestral)"),G16*H16/2,IF(OR(E16="Maestría - Especialidad (Trimestral)",E16="Doctorado (Trimestral)"),G16*H16/3,0)),0))</f>
        <v/>
      </c>
      <c r="L16" s="185">
        <f t="shared" ref="L16:L35" si="2">IF(E16="",1,IF(E16="Técnico",2,IF(E16="Licenciatura",3,IF(E16="Maestría - Especialidad (Semestral)",4,IF(E16="Maestría - Especialidad (Trimestral)",5,IF(E16="Doctorado (Semestral)",6,IF(E16="Doctorado (Trimestral)",7,1)))))))</f>
        <v>1</v>
      </c>
      <c r="P16" t="str">
        <f t="shared" ref="P16:P35" si="3">IF(OR(L16=2,L16=3,L16=4,L16=6),G16*0.5,IF(OR(L16=5,L16=7),G16*0.33,""))</f>
        <v/>
      </c>
      <c r="R16" t="str">
        <f t="shared" ref="R16:R24" si="4">IF(E16="","",IF(E16="Técnico",5,IF(E16="Licenciatura",10,IF(E16="Maestría - Especialidad (Semestral)",12,IF(E16="Maestría - Especialidad (Trimestral)",12,IF(E16="Doctorado (Semestral)",14,IF(E16="Doctorado (Trimestral)",14,0)))))))</f>
        <v/>
      </c>
    </row>
    <row r="17" spans="1:18" ht="20" x14ac:dyDescent="0.2">
      <c r="A17" s="370"/>
      <c r="B17" s="370"/>
      <c r="C17" s="193">
        <v>3</v>
      </c>
      <c r="D17" s="260"/>
      <c r="E17" s="378"/>
      <c r="F17" s="379"/>
      <c r="G17" s="264"/>
      <c r="H17" s="204" t="str">
        <f t="shared" si="0"/>
        <v/>
      </c>
      <c r="I17" s="205" t="str">
        <f t="shared" si="1"/>
        <v/>
      </c>
      <c r="L17" s="185">
        <f t="shared" si="2"/>
        <v>1</v>
      </c>
      <c r="P17" t="str">
        <f t="shared" si="3"/>
        <v/>
      </c>
      <c r="R17" t="str">
        <f t="shared" si="4"/>
        <v/>
      </c>
    </row>
    <row r="18" spans="1:18" ht="20" x14ac:dyDescent="0.2">
      <c r="A18" s="370"/>
      <c r="B18" s="370"/>
      <c r="C18" s="193">
        <v>4</v>
      </c>
      <c r="D18" s="260"/>
      <c r="E18" s="378"/>
      <c r="F18" s="379"/>
      <c r="G18" s="264"/>
      <c r="H18" s="204" t="str">
        <f t="shared" si="0"/>
        <v/>
      </c>
      <c r="I18" s="205" t="str">
        <f t="shared" si="1"/>
        <v/>
      </c>
      <c r="L18" s="185">
        <f t="shared" si="2"/>
        <v>1</v>
      </c>
      <c r="P18" t="str">
        <f t="shared" si="3"/>
        <v/>
      </c>
      <c r="R18" t="str">
        <f t="shared" si="4"/>
        <v/>
      </c>
    </row>
    <row r="19" spans="1:18" ht="20" x14ac:dyDescent="0.2">
      <c r="A19" s="370"/>
      <c r="B19" s="370"/>
      <c r="C19" s="193">
        <v>5</v>
      </c>
      <c r="D19" s="260"/>
      <c r="E19" s="378"/>
      <c r="F19" s="379"/>
      <c r="G19" s="264"/>
      <c r="H19" s="204" t="str">
        <f t="shared" si="0"/>
        <v/>
      </c>
      <c r="I19" s="205" t="str">
        <f t="shared" si="1"/>
        <v/>
      </c>
      <c r="L19" s="185">
        <f t="shared" si="2"/>
        <v>1</v>
      </c>
      <c r="P19" t="str">
        <f t="shared" si="3"/>
        <v/>
      </c>
      <c r="R19" t="str">
        <f t="shared" si="4"/>
        <v/>
      </c>
    </row>
    <row r="20" spans="1:18" ht="20" x14ac:dyDescent="0.2">
      <c r="A20" s="370"/>
      <c r="B20" s="370"/>
      <c r="C20" s="193">
        <v>6</v>
      </c>
      <c r="D20" s="260"/>
      <c r="E20" s="378"/>
      <c r="F20" s="379"/>
      <c r="G20" s="264"/>
      <c r="H20" s="204" t="str">
        <f t="shared" si="0"/>
        <v/>
      </c>
      <c r="I20" s="205" t="str">
        <f t="shared" si="1"/>
        <v/>
      </c>
      <c r="L20" s="185">
        <f t="shared" si="2"/>
        <v>1</v>
      </c>
      <c r="P20" t="str">
        <f t="shared" si="3"/>
        <v/>
      </c>
      <c r="R20" t="str">
        <f t="shared" si="4"/>
        <v/>
      </c>
    </row>
    <row r="21" spans="1:18" ht="20" x14ac:dyDescent="0.2">
      <c r="A21" s="370"/>
      <c r="B21" s="370"/>
      <c r="C21" s="193">
        <v>7</v>
      </c>
      <c r="D21" s="260"/>
      <c r="E21" s="378"/>
      <c r="F21" s="379"/>
      <c r="G21" s="264"/>
      <c r="H21" s="204" t="str">
        <f t="shared" si="0"/>
        <v/>
      </c>
      <c r="I21" s="205" t="str">
        <f t="shared" si="1"/>
        <v/>
      </c>
      <c r="L21" s="185">
        <f t="shared" si="2"/>
        <v>1</v>
      </c>
      <c r="P21" t="str">
        <f t="shared" si="3"/>
        <v/>
      </c>
      <c r="R21" t="str">
        <f t="shared" si="4"/>
        <v/>
      </c>
    </row>
    <row r="22" spans="1:18" ht="20" x14ac:dyDescent="0.2">
      <c r="A22" s="370"/>
      <c r="B22" s="370"/>
      <c r="C22" s="193">
        <v>8</v>
      </c>
      <c r="D22" s="260"/>
      <c r="E22" s="378"/>
      <c r="F22" s="379"/>
      <c r="G22" s="264"/>
      <c r="H22" s="204" t="str">
        <f t="shared" si="0"/>
        <v/>
      </c>
      <c r="I22" s="205" t="str">
        <f t="shared" si="1"/>
        <v/>
      </c>
      <c r="L22" s="185">
        <f t="shared" si="2"/>
        <v>1</v>
      </c>
      <c r="P22" t="str">
        <f t="shared" si="3"/>
        <v/>
      </c>
      <c r="R22" t="str">
        <f t="shared" si="4"/>
        <v/>
      </c>
    </row>
    <row r="23" spans="1:18" ht="20" x14ac:dyDescent="0.2">
      <c r="A23" s="370"/>
      <c r="B23" s="370"/>
      <c r="C23" s="193">
        <v>9</v>
      </c>
      <c r="D23" s="260"/>
      <c r="E23" s="378"/>
      <c r="F23" s="379"/>
      <c r="G23" s="264"/>
      <c r="H23" s="204" t="str">
        <f t="shared" si="0"/>
        <v/>
      </c>
      <c r="I23" s="205" t="str">
        <f t="shared" si="1"/>
        <v/>
      </c>
      <c r="L23" s="185">
        <f t="shared" si="2"/>
        <v>1</v>
      </c>
      <c r="P23" t="str">
        <f t="shared" si="3"/>
        <v/>
      </c>
      <c r="R23" t="str">
        <f t="shared" si="4"/>
        <v/>
      </c>
    </row>
    <row r="24" spans="1:18" ht="21" thickBot="1" x14ac:dyDescent="0.25">
      <c r="A24" s="371"/>
      <c r="B24" s="371"/>
      <c r="C24" s="206">
        <v>10</v>
      </c>
      <c r="D24" s="261"/>
      <c r="E24" s="378"/>
      <c r="F24" s="379"/>
      <c r="G24" s="265"/>
      <c r="H24" s="204" t="str">
        <f t="shared" si="0"/>
        <v/>
      </c>
      <c r="I24" s="205" t="str">
        <f t="shared" si="1"/>
        <v/>
      </c>
      <c r="L24" s="185">
        <f t="shared" si="2"/>
        <v>1</v>
      </c>
      <c r="P24">
        <f>SUM(P15:P23)</f>
        <v>0</v>
      </c>
      <c r="R24" t="str">
        <f t="shared" si="4"/>
        <v/>
      </c>
    </row>
    <row r="25" spans="1:18" ht="25" thickBot="1" x14ac:dyDescent="0.35">
      <c r="A25" s="372" t="s">
        <v>136</v>
      </c>
      <c r="B25" s="373"/>
      <c r="C25" s="373"/>
      <c r="D25" s="373"/>
      <c r="E25" s="373"/>
      <c r="F25" s="373"/>
      <c r="G25" s="210">
        <f>SUM(G15:G24)</f>
        <v>0</v>
      </c>
      <c r="H25" s="209"/>
      <c r="I25" s="213">
        <f>SUM(I15:I24)</f>
        <v>0</v>
      </c>
    </row>
    <row r="26" spans="1:18" ht="20" x14ac:dyDescent="0.2">
      <c r="A26" s="394" t="s">
        <v>137</v>
      </c>
      <c r="B26" s="394"/>
      <c r="C26" s="207">
        <v>1</v>
      </c>
      <c r="D26" s="262"/>
      <c r="E26" s="378"/>
      <c r="F26" s="379"/>
      <c r="G26" s="263"/>
      <c r="H26" s="208" t="str">
        <f>R26</f>
        <v/>
      </c>
      <c r="I26" s="205" t="str">
        <f t="shared" si="1"/>
        <v/>
      </c>
      <c r="L26" s="185">
        <f t="shared" si="2"/>
        <v>1</v>
      </c>
      <c r="P26" t="str">
        <f t="shared" si="3"/>
        <v/>
      </c>
      <c r="R26" t="str">
        <f>IF(E26="","",IF(E26="Técnico",5,IF(E26="Licenciatura",10,IF(E26="Maestría - Especialidad (Semestral)",12,IF(E26="Maestría - Especialidad (Trimestral)",12,IF(E26="Doctorado (Semestral)",14,IF(E26="Doctorado (Trimestral)",14,0)))))))</f>
        <v/>
      </c>
    </row>
    <row r="27" spans="1:18" ht="20" x14ac:dyDescent="0.2">
      <c r="A27" s="370"/>
      <c r="B27" s="370"/>
      <c r="C27" s="193">
        <v>2</v>
      </c>
      <c r="D27" s="260"/>
      <c r="E27" s="378"/>
      <c r="F27" s="379"/>
      <c r="G27" s="264"/>
      <c r="H27" s="208" t="str">
        <f t="shared" ref="H27:H35" si="5">R27</f>
        <v/>
      </c>
      <c r="I27" s="205" t="str">
        <f t="shared" si="1"/>
        <v/>
      </c>
      <c r="L27" s="185">
        <f t="shared" si="2"/>
        <v>1</v>
      </c>
      <c r="P27" t="str">
        <f t="shared" si="3"/>
        <v/>
      </c>
      <c r="R27" t="str">
        <f t="shared" ref="R27:R35" si="6">IF(E27="","",IF(E27="Técnico",5,IF(E27="Licenciatura",10,IF(E27="Maestría - Especialidad (Semestral)",12,IF(E27="Maestría - Especialidad (Trimestral)",12,IF(E27="Doctorado (Semestral)",14,IF(E27="Doctorado (Trimestral)",14,0)))))))</f>
        <v/>
      </c>
    </row>
    <row r="28" spans="1:18" ht="20" x14ac:dyDescent="0.2">
      <c r="A28" s="370"/>
      <c r="B28" s="370"/>
      <c r="C28" s="193">
        <v>3</v>
      </c>
      <c r="D28" s="260"/>
      <c r="E28" s="378"/>
      <c r="F28" s="379"/>
      <c r="G28" s="264"/>
      <c r="H28" s="208" t="str">
        <f t="shared" si="5"/>
        <v/>
      </c>
      <c r="I28" s="205" t="str">
        <f t="shared" si="1"/>
        <v/>
      </c>
      <c r="L28" s="185">
        <f t="shared" si="2"/>
        <v>1</v>
      </c>
      <c r="P28" t="str">
        <f t="shared" si="3"/>
        <v/>
      </c>
      <c r="R28" t="str">
        <f t="shared" si="6"/>
        <v/>
      </c>
    </row>
    <row r="29" spans="1:18" ht="20" x14ac:dyDescent="0.2">
      <c r="A29" s="370"/>
      <c r="B29" s="370"/>
      <c r="C29" s="193">
        <v>4</v>
      </c>
      <c r="D29" s="260"/>
      <c r="E29" s="378"/>
      <c r="F29" s="379"/>
      <c r="G29" s="264"/>
      <c r="H29" s="208" t="str">
        <f t="shared" si="5"/>
        <v/>
      </c>
      <c r="I29" s="205" t="str">
        <f t="shared" si="1"/>
        <v/>
      </c>
      <c r="L29" s="185">
        <f t="shared" si="2"/>
        <v>1</v>
      </c>
      <c r="P29" t="str">
        <f t="shared" si="3"/>
        <v/>
      </c>
      <c r="R29" t="str">
        <f t="shared" si="6"/>
        <v/>
      </c>
    </row>
    <row r="30" spans="1:18" ht="20" x14ac:dyDescent="0.2">
      <c r="A30" s="370"/>
      <c r="B30" s="370"/>
      <c r="C30" s="193">
        <v>5</v>
      </c>
      <c r="D30" s="260"/>
      <c r="E30" s="378"/>
      <c r="F30" s="379"/>
      <c r="G30" s="264"/>
      <c r="H30" s="208" t="str">
        <f t="shared" si="5"/>
        <v/>
      </c>
      <c r="I30" s="205" t="str">
        <f t="shared" si="1"/>
        <v/>
      </c>
      <c r="L30" s="185">
        <f t="shared" si="2"/>
        <v>1</v>
      </c>
      <c r="P30" t="str">
        <f t="shared" si="3"/>
        <v/>
      </c>
      <c r="R30" t="str">
        <f t="shared" si="6"/>
        <v/>
      </c>
    </row>
    <row r="31" spans="1:18" ht="20" x14ac:dyDescent="0.2">
      <c r="A31" s="370"/>
      <c r="B31" s="370"/>
      <c r="C31" s="193">
        <v>6</v>
      </c>
      <c r="D31" s="260"/>
      <c r="E31" s="378"/>
      <c r="F31" s="379"/>
      <c r="G31" s="264"/>
      <c r="H31" s="208" t="str">
        <f t="shared" si="5"/>
        <v/>
      </c>
      <c r="I31" s="205" t="str">
        <f t="shared" si="1"/>
        <v/>
      </c>
      <c r="L31" s="185">
        <f t="shared" si="2"/>
        <v>1</v>
      </c>
      <c r="P31" t="str">
        <f t="shared" si="3"/>
        <v/>
      </c>
      <c r="R31" t="str">
        <f t="shared" si="6"/>
        <v/>
      </c>
    </row>
    <row r="32" spans="1:18" ht="20" x14ac:dyDescent="0.2">
      <c r="A32" s="370"/>
      <c r="B32" s="370"/>
      <c r="C32" s="193">
        <v>7</v>
      </c>
      <c r="D32" s="260"/>
      <c r="E32" s="378"/>
      <c r="F32" s="379"/>
      <c r="G32" s="264"/>
      <c r="H32" s="208" t="str">
        <f t="shared" si="5"/>
        <v/>
      </c>
      <c r="I32" s="205" t="str">
        <f t="shared" si="1"/>
        <v/>
      </c>
      <c r="L32" s="185">
        <f t="shared" si="2"/>
        <v>1</v>
      </c>
      <c r="P32" t="str">
        <f t="shared" si="3"/>
        <v/>
      </c>
      <c r="R32" t="str">
        <f t="shared" si="6"/>
        <v/>
      </c>
    </row>
    <row r="33" spans="1:18" ht="20" x14ac:dyDescent="0.2">
      <c r="A33" s="370"/>
      <c r="B33" s="370"/>
      <c r="C33" s="193">
        <v>8</v>
      </c>
      <c r="D33" s="260"/>
      <c r="E33" s="378"/>
      <c r="F33" s="379"/>
      <c r="G33" s="264"/>
      <c r="H33" s="208" t="str">
        <f t="shared" si="5"/>
        <v/>
      </c>
      <c r="I33" s="205" t="str">
        <f t="shared" si="1"/>
        <v/>
      </c>
      <c r="L33" s="185">
        <f t="shared" si="2"/>
        <v>1</v>
      </c>
      <c r="P33" t="str">
        <f t="shared" si="3"/>
        <v/>
      </c>
      <c r="R33" t="str">
        <f t="shared" si="6"/>
        <v/>
      </c>
    </row>
    <row r="34" spans="1:18" ht="20" x14ac:dyDescent="0.2">
      <c r="A34" s="370"/>
      <c r="B34" s="370"/>
      <c r="C34" s="193">
        <v>9</v>
      </c>
      <c r="D34" s="260"/>
      <c r="E34" s="378"/>
      <c r="F34" s="379"/>
      <c r="G34" s="264"/>
      <c r="H34" s="208" t="str">
        <f t="shared" si="5"/>
        <v/>
      </c>
      <c r="I34" s="205" t="str">
        <f t="shared" si="1"/>
        <v/>
      </c>
      <c r="L34" s="185">
        <f t="shared" si="2"/>
        <v>1</v>
      </c>
      <c r="P34" t="str">
        <f t="shared" si="3"/>
        <v/>
      </c>
      <c r="R34" t="str">
        <f t="shared" si="6"/>
        <v/>
      </c>
    </row>
    <row r="35" spans="1:18" ht="21" thickBot="1" x14ac:dyDescent="0.25">
      <c r="A35" s="395"/>
      <c r="B35" s="395"/>
      <c r="C35" s="211">
        <v>10</v>
      </c>
      <c r="D35" s="261"/>
      <c r="E35" s="378"/>
      <c r="F35" s="379"/>
      <c r="G35" s="265"/>
      <c r="H35" s="208" t="str">
        <f t="shared" si="5"/>
        <v/>
      </c>
      <c r="I35" s="205" t="str">
        <f t="shared" si="1"/>
        <v/>
      </c>
      <c r="L35" s="185">
        <f t="shared" si="2"/>
        <v>1</v>
      </c>
      <c r="P35" t="str">
        <f t="shared" si="3"/>
        <v/>
      </c>
      <c r="R35" t="str">
        <f t="shared" si="6"/>
        <v/>
      </c>
    </row>
    <row r="36" spans="1:18" ht="25" thickBot="1" x14ac:dyDescent="0.35">
      <c r="A36" s="383" t="s">
        <v>138</v>
      </c>
      <c r="B36" s="384"/>
      <c r="C36" s="384"/>
      <c r="D36" s="384"/>
      <c r="E36" s="384"/>
      <c r="F36" s="385"/>
      <c r="G36" s="210">
        <f>SUM(G26:G35)</f>
        <v>0</v>
      </c>
      <c r="H36" s="212"/>
      <c r="I36" s="213">
        <f>SUM(I26:I35)</f>
        <v>0</v>
      </c>
      <c r="P36">
        <f>SUM(P26:P35)</f>
        <v>0</v>
      </c>
      <c r="Q36">
        <f>P36+P24</f>
        <v>0</v>
      </c>
    </row>
    <row r="37" spans="1:18" ht="17" thickBot="1" x14ac:dyDescent="0.25">
      <c r="A37" s="194"/>
      <c r="B37" s="195"/>
      <c r="C37" s="195"/>
      <c r="D37" s="195"/>
      <c r="E37" s="195"/>
      <c r="F37" s="195"/>
      <c r="G37" s="195"/>
      <c r="H37" s="91"/>
    </row>
    <row r="38" spans="1:18" ht="26" thickBot="1" x14ac:dyDescent="0.35">
      <c r="A38" s="389" t="s">
        <v>139</v>
      </c>
      <c r="B38" s="390"/>
      <c r="C38" s="390"/>
      <c r="D38" s="390"/>
      <c r="E38" s="390"/>
      <c r="F38" s="390"/>
      <c r="G38" s="390"/>
      <c r="H38" s="390"/>
      <c r="I38" s="391"/>
      <c r="J38" s="215">
        <f>IF(SUM(I36,I25)&gt;200,200,SUM(I36,I25))</f>
        <v>0</v>
      </c>
    </row>
    <row r="39" spans="1:18" ht="16" x14ac:dyDescent="0.2">
      <c r="A39" s="94"/>
      <c r="B39" s="94"/>
      <c r="C39" s="94"/>
      <c r="D39" s="94"/>
      <c r="E39" s="94"/>
      <c r="F39" s="94"/>
      <c r="G39" s="94"/>
      <c r="H39" s="51"/>
    </row>
    <row r="40" spans="1:18" ht="25" x14ac:dyDescent="0.2">
      <c r="A40" s="386" t="s">
        <v>140</v>
      </c>
      <c r="B40" s="386"/>
      <c r="C40" s="386"/>
      <c r="D40" s="386"/>
      <c r="E40" s="386"/>
      <c r="F40" s="386"/>
      <c r="G40" s="196"/>
      <c r="H40" s="197"/>
    </row>
    <row r="41" spans="1:18" ht="23" x14ac:dyDescent="0.2">
      <c r="A41" s="28"/>
      <c r="B41" s="198" t="s">
        <v>141</v>
      </c>
      <c r="C41" s="198"/>
      <c r="D41" s="198"/>
      <c r="E41" s="198"/>
      <c r="F41" s="198"/>
      <c r="G41" s="195"/>
      <c r="H41" s="189"/>
    </row>
    <row r="42" spans="1:18" ht="23.25" customHeight="1" x14ac:dyDescent="0.2">
      <c r="A42" s="16"/>
      <c r="B42" s="199"/>
      <c r="C42" s="392" t="s">
        <v>142</v>
      </c>
      <c r="D42" s="392"/>
      <c r="E42" s="392"/>
      <c r="F42" s="392"/>
      <c r="G42" s="393"/>
      <c r="H42" s="218">
        <f>IF(RESUMEN!B8="",0, DATEDIF(RESUMEN!B8,M42,"y"))</f>
        <v>0</v>
      </c>
      <c r="I42" s="218">
        <f>IF(H42*5&gt;100,100,H42*5)</f>
        <v>0</v>
      </c>
      <c r="J42" s="217"/>
      <c r="M42" s="252">
        <v>43830</v>
      </c>
    </row>
    <row r="43" spans="1:18" ht="17" thickBot="1" x14ac:dyDescent="0.25">
      <c r="A43" s="16"/>
      <c r="B43" s="17"/>
      <c r="C43" s="17"/>
      <c r="D43" s="17"/>
      <c r="E43" s="17"/>
      <c r="F43" s="17"/>
      <c r="G43" s="200"/>
      <c r="H43" s="189"/>
    </row>
    <row r="44" spans="1:18" ht="26" thickBot="1" x14ac:dyDescent="0.35">
      <c r="A44" s="396" t="s">
        <v>143</v>
      </c>
      <c r="B44" s="397"/>
      <c r="C44" s="397"/>
      <c r="D44" s="397"/>
      <c r="E44" s="397"/>
      <c r="F44" s="397"/>
      <c r="G44" s="397"/>
      <c r="H44" s="397"/>
      <c r="I44" s="398"/>
      <c r="J44" s="222">
        <f>I42</f>
        <v>0</v>
      </c>
    </row>
    <row r="45" spans="1:18" ht="20" x14ac:dyDescent="0.2">
      <c r="A45" s="201"/>
      <c r="B45" s="29"/>
      <c r="C45" s="29"/>
      <c r="D45" s="29"/>
      <c r="E45" s="29"/>
      <c r="F45" s="29"/>
      <c r="G45" s="195"/>
      <c r="H45" s="91"/>
    </row>
    <row r="46" spans="1:18" ht="20" x14ac:dyDescent="0.2">
      <c r="A46" s="201"/>
      <c r="B46" s="29"/>
      <c r="C46" s="29"/>
      <c r="D46" s="29"/>
      <c r="E46" s="29"/>
      <c r="F46" s="29"/>
      <c r="G46" s="195"/>
      <c r="H46" s="91"/>
    </row>
    <row r="47" spans="1:18" ht="23" x14ac:dyDescent="0.2">
      <c r="A47" s="219" t="s">
        <v>123</v>
      </c>
      <c r="B47" s="220"/>
      <c r="C47" s="220"/>
      <c r="D47" s="220"/>
      <c r="E47" s="220"/>
      <c r="F47" s="220"/>
      <c r="G47" s="220"/>
      <c r="H47" s="220"/>
      <c r="I47" s="220"/>
      <c r="J47" s="251">
        <f>'1. CALIDAD'!K162</f>
        <v>0</v>
      </c>
    </row>
    <row r="48" spans="1:18" ht="23" x14ac:dyDescent="0.2">
      <c r="A48" s="399" t="s">
        <v>139</v>
      </c>
      <c r="B48" s="400"/>
      <c r="C48" s="400"/>
      <c r="D48" s="400"/>
      <c r="E48" s="400"/>
      <c r="F48" s="400"/>
      <c r="G48" s="400"/>
      <c r="H48" s="400"/>
      <c r="I48" s="400"/>
      <c r="J48" s="251">
        <f>J38</f>
        <v>0</v>
      </c>
    </row>
    <row r="49" spans="1:10" ht="23" x14ac:dyDescent="0.2">
      <c r="A49" s="219" t="s">
        <v>143</v>
      </c>
      <c r="B49" s="220"/>
      <c r="C49" s="220"/>
      <c r="D49" s="220"/>
      <c r="E49" s="220"/>
      <c r="F49" s="220"/>
      <c r="G49" s="220"/>
      <c r="H49" s="220"/>
      <c r="I49" s="220"/>
      <c r="J49" s="251">
        <f>J44</f>
        <v>0</v>
      </c>
    </row>
    <row r="50" spans="1:10" ht="20" x14ac:dyDescent="0.2">
      <c r="A50" s="201"/>
      <c r="B50" s="29"/>
      <c r="C50" s="29"/>
      <c r="D50" s="29"/>
      <c r="E50" s="29"/>
      <c r="F50" s="29"/>
      <c r="G50" s="195"/>
      <c r="H50" s="91"/>
    </row>
    <row r="51" spans="1:10" ht="45" x14ac:dyDescent="0.2">
      <c r="A51" s="380" t="s">
        <v>144</v>
      </c>
      <c r="B51" s="381"/>
      <c r="C51" s="381"/>
      <c r="D51" s="381"/>
      <c r="E51" s="381"/>
      <c r="F51" s="381"/>
      <c r="G51" s="381"/>
      <c r="H51" s="381"/>
      <c r="I51" s="381"/>
      <c r="J51" s="253">
        <f>J47+J48+J49</f>
        <v>0</v>
      </c>
    </row>
  </sheetData>
  <sheetProtection password="CBA8" sheet="1" objects="1" scenarios="1"/>
  <protectedRanges>
    <protectedRange sqref="G26:G35 G15:G24 D15:D24 D26:D35" name="Rango1"/>
  </protectedRanges>
  <mergeCells count="39"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A51:I51"/>
    <mergeCell ref="I13:I14"/>
    <mergeCell ref="A36:F36"/>
    <mergeCell ref="A40:F40"/>
    <mergeCell ref="H13:H14"/>
    <mergeCell ref="A38:I38"/>
    <mergeCell ref="C42:G42"/>
    <mergeCell ref="A26:B35"/>
    <mergeCell ref="A44:I44"/>
    <mergeCell ref="A48:I48"/>
    <mergeCell ref="E15:F15"/>
    <mergeCell ref="E16:F16"/>
    <mergeCell ref="E17:F17"/>
    <mergeCell ref="E18:F18"/>
    <mergeCell ref="E19:F19"/>
    <mergeCell ref="E20:F20"/>
    <mergeCell ref="B7:F7"/>
    <mergeCell ref="E13:F14"/>
    <mergeCell ref="G13:G14"/>
    <mergeCell ref="A15:B24"/>
    <mergeCell ref="A25:F25"/>
    <mergeCell ref="D10:F10"/>
    <mergeCell ref="D11:F11"/>
    <mergeCell ref="A13:C14"/>
    <mergeCell ref="D13:D14"/>
    <mergeCell ref="E21:F21"/>
    <mergeCell ref="E22:F22"/>
    <mergeCell ref="E23:F23"/>
    <mergeCell ref="E24:F24"/>
  </mergeCells>
  <pageMargins left="0.25" right="0.25" top="0.75" bottom="0.75" header="0.3" footer="0.3"/>
  <pageSetup scale="65" fitToHeight="0" orientation="portrait" r:id="rId1"/>
  <ignoredErrors>
    <ignoredError sqref="I25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Hoja5!$B$1:$B$7</xm:f>
          </x14:formula1>
          <xm:sqref>E15:F24 E26:F35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11" sqref="A11"/>
    </sheetView>
  </sheetViews>
  <sheetFormatPr baseColWidth="10" defaultRowHeight="15" x14ac:dyDescent="0.2"/>
  <sheetData>
    <row r="1" spans="1:1" x14ac:dyDescent="0.2">
      <c r="A1">
        <v>20</v>
      </c>
    </row>
    <row r="2" spans="1:1" x14ac:dyDescent="0.2">
      <c r="A2">
        <v>35</v>
      </c>
    </row>
    <row r="3" spans="1:1" x14ac:dyDescent="0.2">
      <c r="A3">
        <v>20</v>
      </c>
    </row>
    <row r="4" spans="1:1" x14ac:dyDescent="0.2">
      <c r="A4">
        <v>4</v>
      </c>
    </row>
    <row r="5" spans="1:1" x14ac:dyDescent="0.2">
      <c r="A5">
        <v>10</v>
      </c>
    </row>
    <row r="6" spans="1:1" x14ac:dyDescent="0.2">
      <c r="A6">
        <v>25</v>
      </c>
    </row>
    <row r="7" spans="1:1" x14ac:dyDescent="0.2">
      <c r="A7">
        <v>15</v>
      </c>
    </row>
    <row r="8" spans="1:1" x14ac:dyDescent="0.2">
      <c r="A8">
        <v>20</v>
      </c>
    </row>
    <row r="9" spans="1:1" x14ac:dyDescent="0.2">
      <c r="A9">
        <v>35</v>
      </c>
    </row>
    <row r="10" spans="1:1" x14ac:dyDescent="0.2">
      <c r="A10">
        <v>100</v>
      </c>
    </row>
    <row r="11" spans="1:1" x14ac:dyDescent="0.2">
      <c r="A11">
        <v>25</v>
      </c>
    </row>
    <row r="12" spans="1:1" x14ac:dyDescent="0.2">
      <c r="A12">
        <v>15</v>
      </c>
    </row>
    <row r="13" spans="1:1" x14ac:dyDescent="0.2">
      <c r="A13">
        <v>15</v>
      </c>
    </row>
    <row r="14" spans="1:1" x14ac:dyDescent="0.2">
      <c r="A14">
        <v>5</v>
      </c>
    </row>
    <row r="15" spans="1:1" x14ac:dyDescent="0.2">
      <c r="A15">
        <v>10</v>
      </c>
    </row>
    <row r="16" spans="1:1" x14ac:dyDescent="0.2">
      <c r="A16">
        <v>15</v>
      </c>
    </row>
    <row r="17" spans="1:1" x14ac:dyDescent="0.2">
      <c r="A17">
        <v>20</v>
      </c>
    </row>
    <row r="18" spans="1:1" x14ac:dyDescent="0.2">
      <c r="A18">
        <v>30</v>
      </c>
    </row>
    <row r="19" spans="1:1" x14ac:dyDescent="0.2">
      <c r="A19">
        <v>80</v>
      </c>
    </row>
    <row r="20" spans="1:1" x14ac:dyDescent="0.2">
      <c r="A20">
        <v>3</v>
      </c>
    </row>
    <row r="21" spans="1:1" x14ac:dyDescent="0.2">
      <c r="A21">
        <v>7</v>
      </c>
    </row>
    <row r="22" spans="1:1" x14ac:dyDescent="0.2">
      <c r="A22">
        <v>12</v>
      </c>
    </row>
    <row r="23" spans="1:1" x14ac:dyDescent="0.2">
      <c r="A23">
        <v>15</v>
      </c>
    </row>
    <row r="24" spans="1:1" x14ac:dyDescent="0.2">
      <c r="A24">
        <v>25</v>
      </c>
    </row>
    <row r="25" spans="1:1" x14ac:dyDescent="0.2">
      <c r="A25">
        <v>35</v>
      </c>
    </row>
    <row r="26" spans="1:1" x14ac:dyDescent="0.2">
      <c r="A26">
        <v>5</v>
      </c>
    </row>
    <row r="27" spans="1:1" x14ac:dyDescent="0.2">
      <c r="A27">
        <f>SUM(A1:A26)</f>
        <v>601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7" sqref="B7"/>
    </sheetView>
  </sheetViews>
  <sheetFormatPr baseColWidth="10" defaultRowHeight="15" x14ac:dyDescent="0.2"/>
  <cols>
    <col min="1" max="1" width="17.83203125" bestFit="1" customWidth="1"/>
    <col min="2" max="2" width="32.5" bestFit="1" customWidth="1"/>
    <col min="3" max="3" width="43.6640625" bestFit="1" customWidth="1"/>
    <col min="4" max="4" width="36.83203125" bestFit="1" customWidth="1"/>
    <col min="5" max="5" width="23.6640625" bestFit="1" customWidth="1"/>
    <col min="6" max="6" width="13.5" bestFit="1" customWidth="1"/>
    <col min="7" max="7" width="20.33203125" bestFit="1" customWidth="1"/>
    <col min="8" max="8" width="45.33203125" bestFit="1" customWidth="1"/>
  </cols>
  <sheetData>
    <row r="1" spans="1:8" x14ac:dyDescent="0.2">
      <c r="A1" t="s">
        <v>124</v>
      </c>
    </row>
    <row r="2" spans="1:8" x14ac:dyDescent="0.2">
      <c r="A2" t="s">
        <v>125</v>
      </c>
      <c r="B2" t="s">
        <v>151</v>
      </c>
      <c r="C2" t="s">
        <v>177</v>
      </c>
      <c r="D2" t="s">
        <v>185</v>
      </c>
      <c r="E2" t="s">
        <v>192</v>
      </c>
      <c r="F2" t="s">
        <v>204</v>
      </c>
      <c r="G2" t="s">
        <v>207</v>
      </c>
      <c r="H2" t="s">
        <v>236</v>
      </c>
    </row>
    <row r="3" spans="1:8" x14ac:dyDescent="0.2">
      <c r="A3" t="s">
        <v>126</v>
      </c>
      <c r="B3" t="s">
        <v>152</v>
      </c>
      <c r="C3" t="s">
        <v>178</v>
      </c>
      <c r="D3" t="s">
        <v>186</v>
      </c>
      <c r="E3" t="s">
        <v>193</v>
      </c>
      <c r="F3" t="s">
        <v>205</v>
      </c>
      <c r="G3" t="s">
        <v>208</v>
      </c>
      <c r="H3" t="s">
        <v>212</v>
      </c>
    </row>
    <row r="4" spans="1:8" x14ac:dyDescent="0.2">
      <c r="B4" t="s">
        <v>153</v>
      </c>
      <c r="C4" t="s">
        <v>179</v>
      </c>
      <c r="D4" t="s">
        <v>187</v>
      </c>
      <c r="E4" t="s">
        <v>194</v>
      </c>
      <c r="F4" t="s">
        <v>206</v>
      </c>
      <c r="G4" t="s">
        <v>209</v>
      </c>
      <c r="H4" t="s">
        <v>213</v>
      </c>
    </row>
    <row r="5" spans="1:8" x14ac:dyDescent="0.2">
      <c r="B5" t="s">
        <v>154</v>
      </c>
      <c r="C5" t="s">
        <v>180</v>
      </c>
      <c r="D5" t="s">
        <v>188</v>
      </c>
      <c r="E5" t="s">
        <v>195</v>
      </c>
      <c r="G5" t="s">
        <v>210</v>
      </c>
      <c r="H5" t="s">
        <v>214</v>
      </c>
    </row>
    <row r="6" spans="1:8" x14ac:dyDescent="0.2">
      <c r="B6" t="s">
        <v>226</v>
      </c>
      <c r="C6" t="s">
        <v>181</v>
      </c>
      <c r="D6" t="s">
        <v>189</v>
      </c>
      <c r="E6" t="s">
        <v>196</v>
      </c>
      <c r="G6" t="s">
        <v>211</v>
      </c>
      <c r="H6" t="s">
        <v>215</v>
      </c>
    </row>
    <row r="7" spans="1:8" x14ac:dyDescent="0.2">
      <c r="B7" t="s">
        <v>227</v>
      </c>
      <c r="C7" t="s">
        <v>182</v>
      </c>
      <c r="D7" t="s">
        <v>190</v>
      </c>
      <c r="E7" t="s">
        <v>197</v>
      </c>
      <c r="H7" t="s">
        <v>216</v>
      </c>
    </row>
    <row r="8" spans="1:8" x14ac:dyDescent="0.2">
      <c r="C8" t="s">
        <v>183</v>
      </c>
      <c r="D8" t="s">
        <v>191</v>
      </c>
      <c r="E8" t="s">
        <v>198</v>
      </c>
      <c r="H8" t="s">
        <v>217</v>
      </c>
    </row>
    <row r="9" spans="1:8" x14ac:dyDescent="0.2">
      <c r="C9" t="s">
        <v>184</v>
      </c>
      <c r="E9" t="s">
        <v>199</v>
      </c>
      <c r="H9" t="s">
        <v>218</v>
      </c>
    </row>
    <row r="10" spans="1:8" x14ac:dyDescent="0.2">
      <c r="E10" t="s">
        <v>200</v>
      </c>
      <c r="H10" t="s">
        <v>178</v>
      </c>
    </row>
    <row r="11" spans="1:8" x14ac:dyDescent="0.2">
      <c r="E11" t="s">
        <v>201</v>
      </c>
      <c r="H11" t="s">
        <v>219</v>
      </c>
    </row>
    <row r="12" spans="1:8" x14ac:dyDescent="0.2">
      <c r="E12" t="s">
        <v>202</v>
      </c>
      <c r="H12" t="s">
        <v>220</v>
      </c>
    </row>
    <row r="13" spans="1:8" x14ac:dyDescent="0.2">
      <c r="E13" t="s">
        <v>203</v>
      </c>
      <c r="H13" t="s">
        <v>221</v>
      </c>
    </row>
    <row r="14" spans="1:8" x14ac:dyDescent="0.2">
      <c r="H14" t="s">
        <v>222</v>
      </c>
    </row>
    <row r="15" spans="1:8" x14ac:dyDescent="0.2">
      <c r="H15" t="s">
        <v>223</v>
      </c>
    </row>
    <row r="16" spans="1:8" x14ac:dyDescent="0.2">
      <c r="H16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</vt:lpstr>
      <vt:lpstr>1. CALIDAD</vt:lpstr>
      <vt:lpstr>2. DEDICACIÓN Y 3. PERMANENCIA</vt:lpstr>
      <vt:lpstr>Hoja4</vt:lpstr>
      <vt:lpstr>Hoja5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Dominguez</dc:creator>
  <cp:lastModifiedBy>Usuario de Microsoft Office</cp:lastModifiedBy>
  <cp:lastPrinted>2017-02-23T03:48:16Z</cp:lastPrinted>
  <dcterms:created xsi:type="dcterms:W3CDTF">2017-01-13T03:18:09Z</dcterms:created>
  <dcterms:modified xsi:type="dcterms:W3CDTF">2019-03-12T18:10:14Z</dcterms:modified>
</cp:coreProperties>
</file>